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updateLinks="never"/>
  <mc:AlternateContent xmlns:mc="http://schemas.openxmlformats.org/markup-compatibility/2006">
    <mc:Choice Requires="x15">
      <x15ac:absPath xmlns:x15ac="http://schemas.microsoft.com/office/spreadsheetml/2010/11/ac" url="Y:\一時フォルダ\"/>
    </mc:Choice>
  </mc:AlternateContent>
  <bookViews>
    <workbookView xWindow="-27630" yWindow="1170" windowWidth="21600" windowHeight="14175" xr2:uid="{00000000-000D-0000-FFFF-FFFF00000000}"/>
  </bookViews>
  <sheets>
    <sheet name="算定ツール" sheetId="3" r:id="rId1"/>
    <sheet name="マスタ" sheetId="7" r:id="rId2"/>
  </sheets>
  <externalReferences>
    <externalReference r:id="rId3"/>
    <externalReference r:id="rId4"/>
  </externalReferences>
  <definedNames>
    <definedName name="_xlnm.Print_Area" localSheetId="1">マスタ!$L$3:$W$5</definedName>
    <definedName name="_xlnm.Print_Area" localSheetId="0">算定ツール!$A$1:$G$48</definedName>
    <definedName name="介護保険第2号被保険者">算定ツール!$C$19</definedName>
    <definedName name="介護保険料_1年払い">算定ツール!$G$27</definedName>
    <definedName name="介護保険料_月額">算定ツール!$C$27</definedName>
    <definedName name="介護保険料_半年払い">算定ツール!$F$27</definedName>
    <definedName name="介護保険料_毎月払い">算定ツール!$E$27</definedName>
    <definedName name="介護保険料率">算定ツール!$C$9</definedName>
    <definedName name="健康保険料_1年払い">算定ツール!$G$26</definedName>
    <definedName name="健康保険料_月額">算定ツール!$C$26</definedName>
    <definedName name="健康保険料_半年払い">算定ツール!$F$26</definedName>
    <definedName name="健康保険料_毎月払い">算定ツール!$E$26</definedName>
    <definedName name="健康保険料率">算定ツール!$C$8</definedName>
    <definedName name="合計_1年払い">算定ツール!$G$29</definedName>
    <definedName name="合計_月額">算定ツール!$C$29</definedName>
    <definedName name="合計_半年払い">算定ツール!$F$29</definedName>
    <definedName name="合計_毎月払い">算定ツール!$E$29</definedName>
    <definedName name="子ども・子育て支援金">算定ツール!$C$28</definedName>
    <definedName name="子ども・子育て支援金率">算定ツール!$C$10</definedName>
    <definedName name="取得月">算定ツール!$C$17</definedName>
    <definedName name="退職時の標準報酬月額" localSheetId="1">マスタ!#REF!</definedName>
    <definedName name="退職時の標準報酬月額" localSheetId="0">算定ツール!$C$12</definedName>
    <definedName name="退職時の標準報酬月額">#REF!</definedName>
    <definedName name="任意継続保険適用の標準報酬月額">算定ツール!$C$15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A57" i="7" l="1"/>
  <c r="Z57" i="7"/>
  <c r="Y57" i="7"/>
  <c r="X57" i="7"/>
  <c r="W57" i="7"/>
  <c r="V57" i="7"/>
  <c r="U57" i="7"/>
  <c r="AA56" i="7"/>
  <c r="Z56" i="7"/>
  <c r="Y56" i="7"/>
  <c r="X56" i="7"/>
  <c r="W56" i="7"/>
  <c r="V56" i="7"/>
  <c r="U56" i="7"/>
  <c r="AA55" i="7"/>
  <c r="Z55" i="7"/>
  <c r="Y55" i="7"/>
  <c r="X55" i="7"/>
  <c r="W55" i="7"/>
  <c r="V55" i="7"/>
  <c r="U55" i="7"/>
  <c r="AA54" i="7"/>
  <c r="Z54" i="7"/>
  <c r="Y54" i="7"/>
  <c r="X54" i="7"/>
  <c r="W54" i="7"/>
  <c r="V54" i="7"/>
  <c r="U54" i="7"/>
  <c r="AA53" i="7"/>
  <c r="Z53" i="7"/>
  <c r="Y53" i="7"/>
  <c r="X53" i="7"/>
  <c r="W53" i="7"/>
  <c r="V53" i="7"/>
  <c r="U53" i="7"/>
  <c r="AA52" i="7"/>
  <c r="Z52" i="7"/>
  <c r="Y52" i="7"/>
  <c r="X52" i="7"/>
  <c r="W52" i="7"/>
  <c r="V52" i="7"/>
  <c r="U52" i="7"/>
  <c r="AA51" i="7"/>
  <c r="Z51" i="7"/>
  <c r="Y51" i="7"/>
  <c r="X51" i="7"/>
  <c r="W51" i="7"/>
  <c r="V51" i="7"/>
  <c r="U51" i="7"/>
  <c r="AA50" i="7"/>
  <c r="Z50" i="7"/>
  <c r="Y50" i="7"/>
  <c r="X50" i="7"/>
  <c r="W50" i="7"/>
  <c r="V50" i="7"/>
  <c r="U50" i="7"/>
  <c r="AA49" i="7"/>
  <c r="Z49" i="7"/>
  <c r="Y49" i="7"/>
  <c r="X49" i="7"/>
  <c r="W49" i="7"/>
  <c r="V49" i="7"/>
  <c r="U49" i="7"/>
  <c r="AA48" i="7"/>
  <c r="Z48" i="7"/>
  <c r="Y48" i="7"/>
  <c r="X48" i="7"/>
  <c r="W48" i="7"/>
  <c r="V48" i="7"/>
  <c r="U48" i="7"/>
  <c r="AA47" i="7"/>
  <c r="Z47" i="7"/>
  <c r="Y47" i="7"/>
  <c r="X47" i="7"/>
  <c r="W47" i="7"/>
  <c r="V47" i="7"/>
  <c r="U47" i="7"/>
  <c r="AA46" i="7"/>
  <c r="Z46" i="7"/>
  <c r="Y46" i="7"/>
  <c r="X46" i="7"/>
  <c r="W46" i="7"/>
  <c r="V46" i="7"/>
  <c r="U46" i="7"/>
  <c r="AA45" i="7"/>
  <c r="Z45" i="7"/>
  <c r="Y45" i="7"/>
  <c r="X45" i="7"/>
  <c r="W45" i="7"/>
  <c r="V45" i="7"/>
  <c r="U45" i="7"/>
  <c r="AA44" i="7"/>
  <c r="Z44" i="7"/>
  <c r="Y44" i="7"/>
  <c r="X44" i="7"/>
  <c r="W44" i="7"/>
  <c r="V44" i="7"/>
  <c r="U44" i="7"/>
  <c r="AA43" i="7"/>
  <c r="Z43" i="7"/>
  <c r="Y43" i="7"/>
  <c r="X43" i="7"/>
  <c r="W43" i="7"/>
  <c r="V43" i="7"/>
  <c r="U43" i="7"/>
  <c r="AA42" i="7"/>
  <c r="Z42" i="7"/>
  <c r="Y42" i="7"/>
  <c r="X42" i="7"/>
  <c r="W42" i="7"/>
  <c r="V42" i="7"/>
  <c r="U42" i="7"/>
  <c r="AA41" i="7"/>
  <c r="Z41" i="7"/>
  <c r="Y41" i="7"/>
  <c r="X41" i="7"/>
  <c r="W41" i="7"/>
  <c r="V41" i="7"/>
  <c r="U41" i="7"/>
  <c r="AA40" i="7"/>
  <c r="Z40" i="7"/>
  <c r="Y40" i="7"/>
  <c r="X40" i="7"/>
  <c r="W40" i="7"/>
  <c r="V40" i="7"/>
  <c r="U40" i="7"/>
  <c r="AA39" i="7"/>
  <c r="Z39" i="7"/>
  <c r="Y39" i="7"/>
  <c r="X39" i="7"/>
  <c r="W39" i="7"/>
  <c r="V39" i="7"/>
  <c r="U39" i="7"/>
  <c r="AA38" i="7"/>
  <c r="Z38" i="7"/>
  <c r="Y38" i="7"/>
  <c r="X38" i="7"/>
  <c r="W38" i="7"/>
  <c r="V38" i="7"/>
  <c r="U38" i="7"/>
  <c r="AA37" i="7"/>
  <c r="Z37" i="7"/>
  <c r="Y37" i="7"/>
  <c r="X37" i="7"/>
  <c r="W37" i="7"/>
  <c r="V37" i="7"/>
  <c r="U37" i="7"/>
  <c r="AA36" i="7"/>
  <c r="Z36" i="7"/>
  <c r="Y36" i="7"/>
  <c r="X36" i="7"/>
  <c r="W36" i="7"/>
  <c r="V36" i="7"/>
  <c r="U36" i="7"/>
  <c r="AA35" i="7"/>
  <c r="Z35" i="7"/>
  <c r="Y35" i="7"/>
  <c r="X35" i="7"/>
  <c r="W35" i="7"/>
  <c r="V35" i="7"/>
  <c r="U35" i="7"/>
  <c r="AA34" i="7"/>
  <c r="Z34" i="7"/>
  <c r="Y34" i="7"/>
  <c r="X34" i="7"/>
  <c r="W34" i="7"/>
  <c r="V34" i="7"/>
  <c r="U34" i="7"/>
  <c r="AA33" i="7"/>
  <c r="Z33" i="7"/>
  <c r="Y33" i="7"/>
  <c r="X33" i="7"/>
  <c r="W33" i="7"/>
  <c r="V33" i="7"/>
  <c r="U33" i="7"/>
  <c r="AA32" i="7"/>
  <c r="Z32" i="7"/>
  <c r="Y32" i="7"/>
  <c r="X32" i="7"/>
  <c r="W32" i="7"/>
  <c r="V32" i="7"/>
  <c r="U32" i="7"/>
  <c r="AA31" i="7"/>
  <c r="Z31" i="7"/>
  <c r="Y31" i="7"/>
  <c r="X31" i="7"/>
  <c r="W31" i="7"/>
  <c r="V31" i="7"/>
  <c r="U31" i="7"/>
  <c r="AA30" i="7"/>
  <c r="Z30" i="7"/>
  <c r="Y30" i="7"/>
  <c r="X30" i="7"/>
  <c r="W30" i="7"/>
  <c r="V30" i="7"/>
  <c r="U30" i="7"/>
  <c r="AA29" i="7"/>
  <c r="Z29" i="7"/>
  <c r="Y29" i="7"/>
  <c r="X29" i="7"/>
  <c r="W29" i="7"/>
  <c r="V29" i="7"/>
  <c r="U29" i="7"/>
  <c r="AA28" i="7"/>
  <c r="Z28" i="7"/>
  <c r="Y28" i="7"/>
  <c r="X28" i="7"/>
  <c r="W28" i="7"/>
  <c r="V28" i="7"/>
  <c r="U28" i="7"/>
  <c r="AA27" i="7"/>
  <c r="Z27" i="7"/>
  <c r="Y27" i="7"/>
  <c r="X27" i="7"/>
  <c r="W27" i="7"/>
  <c r="V27" i="7"/>
  <c r="U27" i="7"/>
  <c r="AA26" i="7"/>
  <c r="Z26" i="7"/>
  <c r="Y26" i="7"/>
  <c r="X26" i="7"/>
  <c r="W26" i="7"/>
  <c r="V26" i="7"/>
  <c r="U26" i="7"/>
  <c r="AA25" i="7"/>
  <c r="Z25" i="7"/>
  <c r="Y25" i="7"/>
  <c r="X25" i="7"/>
  <c r="W25" i="7"/>
  <c r="V25" i="7"/>
  <c r="U25" i="7"/>
  <c r="AA24" i="7"/>
  <c r="Z24" i="7"/>
  <c r="Y24" i="7"/>
  <c r="X24" i="7"/>
  <c r="W24" i="7"/>
  <c r="V24" i="7"/>
  <c r="U24" i="7"/>
  <c r="AA23" i="7"/>
  <c r="Z23" i="7"/>
  <c r="Y23" i="7"/>
  <c r="X23" i="7"/>
  <c r="W23" i="7"/>
  <c r="V23" i="7"/>
  <c r="U23" i="7"/>
  <c r="AA22" i="7"/>
  <c r="Z22" i="7"/>
  <c r="Y22" i="7"/>
  <c r="X22" i="7"/>
  <c r="W22" i="7"/>
  <c r="V22" i="7"/>
  <c r="U22" i="7"/>
  <c r="AA21" i="7"/>
  <c r="Z21" i="7"/>
  <c r="Y21" i="7"/>
  <c r="X21" i="7"/>
  <c r="W21" i="7"/>
  <c r="V21" i="7"/>
  <c r="U21" i="7"/>
  <c r="AA20" i="7"/>
  <c r="Z20" i="7"/>
  <c r="Y20" i="7"/>
  <c r="X20" i="7"/>
  <c r="W20" i="7"/>
  <c r="V20" i="7"/>
  <c r="U20" i="7"/>
  <c r="AA19" i="7"/>
  <c r="Z19" i="7"/>
  <c r="Y19" i="7"/>
  <c r="X19" i="7"/>
  <c r="W19" i="7"/>
  <c r="V19" i="7"/>
  <c r="U19" i="7"/>
  <c r="AA18" i="7"/>
  <c r="Z18" i="7"/>
  <c r="Y18" i="7"/>
  <c r="X18" i="7"/>
  <c r="W18" i="7"/>
  <c r="V18" i="7"/>
  <c r="U18" i="7"/>
  <c r="AA17" i="7"/>
  <c r="Z17" i="7"/>
  <c r="Y17" i="7"/>
  <c r="X17" i="7"/>
  <c r="W17" i="7"/>
  <c r="V17" i="7"/>
  <c r="U17" i="7"/>
  <c r="AA16" i="7"/>
  <c r="Z16" i="7"/>
  <c r="Y16" i="7"/>
  <c r="X16" i="7"/>
  <c r="W16" i="7"/>
  <c r="V16" i="7"/>
  <c r="U16" i="7"/>
  <c r="AA15" i="7"/>
  <c r="Z15" i="7"/>
  <c r="Y15" i="7"/>
  <c r="X15" i="7"/>
  <c r="W15" i="7"/>
  <c r="V15" i="7"/>
  <c r="U15" i="7"/>
  <c r="AA14" i="7"/>
  <c r="Z14" i="7"/>
  <c r="Y14" i="7"/>
  <c r="X14" i="7"/>
  <c r="W14" i="7"/>
  <c r="V14" i="7"/>
  <c r="U14" i="7"/>
  <c r="AA13" i="7"/>
  <c r="Z13" i="7"/>
  <c r="Y13" i="7"/>
  <c r="X13" i="7"/>
  <c r="W13" i="7"/>
  <c r="V13" i="7"/>
  <c r="U13" i="7"/>
  <c r="AA12" i="7"/>
  <c r="Z12" i="7"/>
  <c r="Y12" i="7"/>
  <c r="X12" i="7"/>
  <c r="W12" i="7"/>
  <c r="V12" i="7"/>
  <c r="U12" i="7"/>
  <c r="AA11" i="7"/>
  <c r="Z11" i="7"/>
  <c r="Y11" i="7"/>
  <c r="X11" i="7"/>
  <c r="W11" i="7"/>
  <c r="V11" i="7"/>
  <c r="U11" i="7"/>
  <c r="AA10" i="7"/>
  <c r="Z10" i="7"/>
  <c r="Y10" i="7"/>
  <c r="X10" i="7"/>
  <c r="W10" i="7"/>
  <c r="V10" i="7"/>
  <c r="U10" i="7"/>
  <c r="AA9" i="7"/>
  <c r="Z9" i="7"/>
  <c r="Y9" i="7"/>
  <c r="X9" i="7"/>
  <c r="W9" i="7"/>
  <c r="V9" i="7"/>
  <c r="U9" i="7"/>
  <c r="AA8" i="7"/>
  <c r="Z8" i="7"/>
  <c r="Y8" i="7"/>
  <c r="X8" i="7"/>
  <c r="W8" i="7"/>
  <c r="V8" i="7"/>
  <c r="U8" i="7"/>
  <c r="E57" i="7"/>
  <c r="E56" i="7"/>
  <c r="E55" i="7"/>
  <c r="E54" i="7"/>
  <c r="E53" i="7"/>
  <c r="E52" i="7"/>
  <c r="E51" i="7"/>
  <c r="E50" i="7"/>
  <c r="E49" i="7"/>
  <c r="E48" i="7"/>
  <c r="E47" i="7"/>
  <c r="E46" i="7"/>
  <c r="E45" i="7"/>
  <c r="E44" i="7"/>
  <c r="E43" i="7"/>
  <c r="E42" i="7"/>
  <c r="E41" i="7"/>
  <c r="E40" i="7"/>
  <c r="E39" i="7"/>
  <c r="E38" i="7"/>
  <c r="E37" i="7"/>
  <c r="E36" i="7"/>
  <c r="E35" i="7"/>
  <c r="E34" i="7"/>
  <c r="E33" i="7"/>
  <c r="E32" i="7"/>
  <c r="E31" i="7"/>
  <c r="E30" i="7"/>
  <c r="E29" i="7"/>
  <c r="E28" i="7"/>
  <c r="E27" i="7"/>
  <c r="E26" i="7"/>
  <c r="E25" i="7"/>
  <c r="E24" i="7"/>
  <c r="E23" i="7"/>
  <c r="E22" i="7"/>
  <c r="E21" i="7"/>
  <c r="E20" i="7"/>
  <c r="E19" i="7"/>
  <c r="E18" i="7"/>
  <c r="E17" i="7"/>
  <c r="E16" i="7"/>
  <c r="E15" i="7"/>
  <c r="E14" i="7"/>
  <c r="E13" i="7"/>
  <c r="E12" i="7"/>
  <c r="E11" i="7"/>
  <c r="E10" i="7"/>
  <c r="E9" i="7"/>
  <c r="E8" i="7"/>
  <c r="C15" i="3"/>
  <c r="E15" i="3"/>
  <c r="D15" i="3"/>
  <c r="F30" i="3" l="1"/>
  <c r="C10" i="3" l="1"/>
  <c r="AA5" i="7"/>
  <c r="J5" i="7"/>
  <c r="C9" i="3" l="1"/>
  <c r="C17" i="7"/>
  <c r="C16" i="7"/>
  <c r="C15" i="7"/>
  <c r="C14" i="7"/>
  <c r="C13" i="7"/>
  <c r="C12" i="7"/>
  <c r="C11" i="7"/>
  <c r="C10" i="7"/>
  <c r="C9" i="7"/>
  <c r="C8" i="7"/>
  <c r="C34" i="7"/>
  <c r="C33" i="7"/>
  <c r="C32" i="7"/>
  <c r="C31" i="7"/>
  <c r="C30" i="7"/>
  <c r="C29" i="7"/>
  <c r="C28" i="7"/>
  <c r="C27" i="7"/>
  <c r="C26" i="7"/>
  <c r="C25" i="7"/>
  <c r="C24" i="7"/>
  <c r="C23" i="7"/>
  <c r="C22" i="7"/>
  <c r="C21" i="7"/>
  <c r="C20" i="7"/>
  <c r="C19" i="7"/>
  <c r="C18" i="7"/>
  <c r="C57" i="7"/>
  <c r="C56" i="7"/>
  <c r="C55" i="7"/>
  <c r="C54" i="7"/>
  <c r="C53" i="7"/>
  <c r="C52" i="7"/>
  <c r="C51" i="7"/>
  <c r="C50" i="7"/>
  <c r="C49" i="7"/>
  <c r="C48" i="7"/>
  <c r="C47" i="7"/>
  <c r="C46" i="7"/>
  <c r="C45" i="7"/>
  <c r="C44" i="7"/>
  <c r="C43" i="7"/>
  <c r="C42" i="7"/>
  <c r="C41" i="7"/>
  <c r="C40" i="7"/>
  <c r="C39" i="7"/>
  <c r="C38" i="7"/>
  <c r="C37" i="7"/>
  <c r="C36" i="7"/>
  <c r="C35" i="7"/>
  <c r="G25" i="3"/>
  <c r="E25" i="3"/>
  <c r="F25" i="3"/>
  <c r="J54" i="7" l="1"/>
  <c r="J50" i="7"/>
  <c r="J49" i="7"/>
  <c r="J48" i="7"/>
  <c r="J47" i="7"/>
  <c r="J46" i="7"/>
  <c r="J45" i="7"/>
  <c r="J44" i="7"/>
  <c r="J43" i="7"/>
  <c r="J42" i="7"/>
  <c r="J41" i="7"/>
  <c r="J40" i="7"/>
  <c r="J39" i="7"/>
  <c r="J38" i="7"/>
  <c r="J37" i="7"/>
  <c r="J36" i="7"/>
  <c r="J35" i="7"/>
  <c r="J34" i="7"/>
  <c r="J33" i="7"/>
  <c r="J32" i="7"/>
  <c r="J31" i="7"/>
  <c r="J30" i="7"/>
  <c r="J29" i="7"/>
  <c r="J28" i="7"/>
  <c r="J27" i="7"/>
  <c r="J26" i="7"/>
  <c r="J25" i="7"/>
  <c r="J24" i="7"/>
  <c r="J23" i="7"/>
  <c r="J22" i="7"/>
  <c r="J21" i="7"/>
  <c r="J20" i="7"/>
  <c r="J19" i="7"/>
  <c r="J18" i="7"/>
  <c r="J17" i="7"/>
  <c r="J16" i="7"/>
  <c r="J15" i="7"/>
  <c r="J14" i="7"/>
  <c r="J13" i="7"/>
  <c r="J12" i="7"/>
  <c r="J11" i="7"/>
  <c r="J10" i="7"/>
  <c r="J9" i="7"/>
  <c r="J8" i="7"/>
  <c r="I5" i="7" l="1"/>
  <c r="G5" i="7" l="1"/>
  <c r="F5" i="7"/>
  <c r="I54" i="7"/>
  <c r="G54" i="7"/>
  <c r="F54" i="7"/>
  <c r="I50" i="7"/>
  <c r="G50" i="7"/>
  <c r="F50" i="7"/>
  <c r="I49" i="7"/>
  <c r="G49" i="7"/>
  <c r="F49" i="7"/>
  <c r="I48" i="7"/>
  <c r="G48" i="7"/>
  <c r="F48" i="7"/>
  <c r="I47" i="7"/>
  <c r="G47" i="7"/>
  <c r="F47" i="7"/>
  <c r="I46" i="7"/>
  <c r="G46" i="7"/>
  <c r="F46" i="7"/>
  <c r="I45" i="7"/>
  <c r="G45" i="7"/>
  <c r="F45" i="7"/>
  <c r="I44" i="7"/>
  <c r="G44" i="7"/>
  <c r="F44" i="7"/>
  <c r="I43" i="7"/>
  <c r="G43" i="7"/>
  <c r="F43" i="7"/>
  <c r="I42" i="7"/>
  <c r="G42" i="7"/>
  <c r="F42" i="7"/>
  <c r="I41" i="7"/>
  <c r="G41" i="7"/>
  <c r="F41" i="7"/>
  <c r="I40" i="7"/>
  <c r="G40" i="7"/>
  <c r="F40" i="7"/>
  <c r="I39" i="7"/>
  <c r="G39" i="7"/>
  <c r="F39" i="7"/>
  <c r="I38" i="7"/>
  <c r="G38" i="7"/>
  <c r="F38" i="7"/>
  <c r="I37" i="7"/>
  <c r="G37" i="7"/>
  <c r="F37" i="7"/>
  <c r="I36" i="7"/>
  <c r="G36" i="7"/>
  <c r="F36" i="7"/>
  <c r="I35" i="7"/>
  <c r="G35" i="7"/>
  <c r="F35" i="7"/>
  <c r="I34" i="7"/>
  <c r="G34" i="7"/>
  <c r="F34" i="7"/>
  <c r="I33" i="7"/>
  <c r="G33" i="7"/>
  <c r="F33" i="7"/>
  <c r="I32" i="7"/>
  <c r="G32" i="7"/>
  <c r="F32" i="7"/>
  <c r="I31" i="7"/>
  <c r="G31" i="7"/>
  <c r="F31" i="7"/>
  <c r="I30" i="7"/>
  <c r="G30" i="7"/>
  <c r="F30" i="7"/>
  <c r="I29" i="7"/>
  <c r="G29" i="7"/>
  <c r="F29" i="7"/>
  <c r="I28" i="7"/>
  <c r="G28" i="7"/>
  <c r="F28" i="7"/>
  <c r="I27" i="7"/>
  <c r="G27" i="7"/>
  <c r="F27" i="7"/>
  <c r="I26" i="7"/>
  <c r="G26" i="7"/>
  <c r="F26" i="7"/>
  <c r="I25" i="7"/>
  <c r="G25" i="7"/>
  <c r="F25" i="7"/>
  <c r="I24" i="7"/>
  <c r="G24" i="7"/>
  <c r="F24" i="7"/>
  <c r="I23" i="7"/>
  <c r="G23" i="7"/>
  <c r="F23" i="7"/>
  <c r="I22" i="7"/>
  <c r="G22" i="7"/>
  <c r="F22" i="7"/>
  <c r="I21" i="7"/>
  <c r="G21" i="7"/>
  <c r="F21" i="7"/>
  <c r="I20" i="7"/>
  <c r="G20" i="7"/>
  <c r="F20" i="7"/>
  <c r="I19" i="7"/>
  <c r="G19" i="7"/>
  <c r="F19" i="7"/>
  <c r="I18" i="7"/>
  <c r="G18" i="7"/>
  <c r="F18" i="7"/>
  <c r="I17" i="7"/>
  <c r="G17" i="7"/>
  <c r="F17" i="7"/>
  <c r="I16" i="7"/>
  <c r="G16" i="7"/>
  <c r="F16" i="7"/>
  <c r="I15" i="7"/>
  <c r="G15" i="7"/>
  <c r="F15" i="7"/>
  <c r="I14" i="7"/>
  <c r="G14" i="7"/>
  <c r="F14" i="7"/>
  <c r="I13" i="7"/>
  <c r="G13" i="7"/>
  <c r="F13" i="7"/>
  <c r="I12" i="7"/>
  <c r="G12" i="7"/>
  <c r="F12" i="7"/>
  <c r="I11" i="7"/>
  <c r="G11" i="7"/>
  <c r="F11" i="7"/>
  <c r="I10" i="7"/>
  <c r="G10" i="7"/>
  <c r="F10" i="7"/>
  <c r="I9" i="7"/>
  <c r="G9" i="7"/>
  <c r="F9" i="7"/>
  <c r="I8" i="7"/>
  <c r="G8" i="7"/>
  <c r="F8" i="7"/>
  <c r="AP5" i="7" l="1"/>
  <c r="AW10" i="7" s="1"/>
  <c r="C28" i="3" a="1"/>
  <c r="C28" i="3" s="1"/>
  <c r="C27" i="3"/>
  <c r="AW12" i="7" l="1"/>
  <c r="AW5" i="7"/>
  <c r="AW13" i="7"/>
  <c r="AW6" i="7"/>
  <c r="AW7" i="7"/>
  <c r="AW11" i="7"/>
  <c r="AW15" i="7"/>
  <c r="AW9" i="7"/>
  <c r="AW17" i="7"/>
  <c r="I28" i="3" s="1"/>
  <c r="AW16" i="7"/>
  <c r="AW14" i="7"/>
  <c r="AW8" i="7"/>
  <c r="E33" i="3"/>
  <c r="E28" i="3"/>
  <c r="AV6" i="7"/>
  <c r="AW27" i="7" l="1"/>
  <c r="BD10" i="7"/>
  <c r="AW38" i="7"/>
  <c r="AW26" i="7"/>
  <c r="AW42" i="7"/>
  <c r="AW30" i="7"/>
  <c r="AW22" i="7"/>
  <c r="AW36" i="7"/>
  <c r="BD16" i="7"/>
  <c r="AW43" i="7"/>
  <c r="AW28" i="7"/>
  <c r="AW44" i="7"/>
  <c r="AW45" i="7"/>
  <c r="AW25" i="7"/>
  <c r="AW35" i="7"/>
  <c r="AW23" i="7"/>
  <c r="AW20" i="7"/>
  <c r="AW24" i="7"/>
  <c r="AW21" i="7"/>
  <c r="AW34" i="7"/>
  <c r="AW29" i="7"/>
  <c r="AW37" i="7"/>
  <c r="F28" i="3" s="1"/>
  <c r="AW41" i="7"/>
  <c r="AW40" i="7"/>
  <c r="AW31" i="7"/>
  <c r="AW39" i="7"/>
  <c r="F33" i="3"/>
  <c r="AS17" i="7"/>
  <c r="AS15" i="7"/>
  <c r="AS16" i="7"/>
  <c r="AV17" i="7"/>
  <c r="G32" i="3" s="1"/>
  <c r="AV15" i="7"/>
  <c r="AT14" i="7"/>
  <c r="AS13" i="7"/>
  <c r="AS11" i="7"/>
  <c r="AS9" i="7"/>
  <c r="AS7" i="7"/>
  <c r="AS5" i="7"/>
  <c r="AT15" i="7"/>
  <c r="AT12" i="7"/>
  <c r="AT10" i="7"/>
  <c r="AV7" i="7"/>
  <c r="AT6" i="7"/>
  <c r="AT16" i="7"/>
  <c r="AV14" i="7"/>
  <c r="AT11" i="7"/>
  <c r="AV10" i="7"/>
  <c r="AT7" i="7"/>
  <c r="AT5" i="7"/>
  <c r="AT17" i="7"/>
  <c r="AS14" i="7"/>
  <c r="AV13" i="7"/>
  <c r="AV11" i="7"/>
  <c r="AV9" i="7"/>
  <c r="AT8" i="7"/>
  <c r="AV5" i="7"/>
  <c r="AT13" i="7"/>
  <c r="AV12" i="7"/>
  <c r="AV16" i="7"/>
  <c r="AS12" i="7"/>
  <c r="AS10" i="7"/>
  <c r="AS8" i="7"/>
  <c r="AS6" i="7"/>
  <c r="AT9" i="7"/>
  <c r="AV8" i="7"/>
  <c r="G28" i="3" l="1"/>
  <c r="AT20" i="7"/>
  <c r="AT21" i="7"/>
  <c r="BB16" i="7"/>
  <c r="BF16" i="7"/>
  <c r="BC10" i="7"/>
  <c r="BC16" i="7"/>
  <c r="BB10" i="7"/>
  <c r="BF10" i="7"/>
  <c r="I27" i="3"/>
  <c r="AS45" i="7"/>
  <c r="AS43" i="7"/>
  <c r="AS41" i="7"/>
  <c r="AS39" i="7"/>
  <c r="AS37" i="7"/>
  <c r="AS35" i="7"/>
  <c r="AS44" i="7"/>
  <c r="AS42" i="7"/>
  <c r="AS40" i="7"/>
  <c r="AS31" i="7"/>
  <c r="AS29" i="7"/>
  <c r="AS27" i="7"/>
  <c r="AS25" i="7"/>
  <c r="AS23" i="7"/>
  <c r="AS21" i="7"/>
  <c r="AS38" i="7"/>
  <c r="AS36" i="7"/>
  <c r="AS34" i="7"/>
  <c r="AS30" i="7"/>
  <c r="AS28" i="7"/>
  <c r="AS26" i="7"/>
  <c r="AS24" i="7"/>
  <c r="AS22" i="7"/>
  <c r="AS20" i="7"/>
  <c r="AT44" i="7"/>
  <c r="AT45" i="7"/>
  <c r="AT43" i="7"/>
  <c r="AT41" i="7"/>
  <c r="AT38" i="7"/>
  <c r="AT36" i="7"/>
  <c r="AT34" i="7"/>
  <c r="AT30" i="7"/>
  <c r="AT28" i="7"/>
  <c r="AT26" i="7"/>
  <c r="AT24" i="7"/>
  <c r="AT42" i="7"/>
  <c r="AT39" i="7"/>
  <c r="AT37" i="7"/>
  <c r="AT35" i="7"/>
  <c r="AT31" i="7"/>
  <c r="AT29" i="7"/>
  <c r="AT27" i="7"/>
  <c r="AT25" i="7"/>
  <c r="AT22" i="7"/>
  <c r="AT23" i="7"/>
  <c r="AT40" i="7"/>
  <c r="AV45" i="7"/>
  <c r="AV44" i="7"/>
  <c r="AV43" i="7"/>
  <c r="AV41" i="7"/>
  <c r="AV38" i="7"/>
  <c r="AV36" i="7"/>
  <c r="AV34" i="7"/>
  <c r="AV39" i="7"/>
  <c r="AV37" i="7"/>
  <c r="AV35" i="7"/>
  <c r="AV31" i="7"/>
  <c r="AV29" i="7"/>
  <c r="AV27" i="7"/>
  <c r="AV25" i="7"/>
  <c r="AV42" i="7"/>
  <c r="AV40" i="7"/>
  <c r="AV22" i="7"/>
  <c r="AV20" i="7"/>
  <c r="AV30" i="7"/>
  <c r="AV28" i="7"/>
  <c r="AV26" i="7"/>
  <c r="AV24" i="7"/>
  <c r="AV23" i="7"/>
  <c r="G27" i="3" s="1"/>
  <c r="AV21" i="7"/>
  <c r="F27" i="3" l="1"/>
  <c r="J51" i="7"/>
  <c r="G51" i="7"/>
  <c r="I51" i="7"/>
  <c r="F51" i="7"/>
  <c r="J56" i="7"/>
  <c r="G56" i="7"/>
  <c r="I56" i="7"/>
  <c r="F56" i="7"/>
  <c r="J55" i="7"/>
  <c r="G55" i="7"/>
  <c r="F55" i="7"/>
  <c r="I55" i="7"/>
  <c r="J52" i="7"/>
  <c r="G52" i="7"/>
  <c r="I52" i="7"/>
  <c r="F52" i="7"/>
  <c r="J57" i="7" l="1"/>
  <c r="G57" i="7"/>
  <c r="F57" i="7"/>
  <c r="I57" i="7"/>
  <c r="E32" i="3"/>
  <c r="F32" i="3" s="1"/>
  <c r="E27" i="3"/>
  <c r="J53" i="7" l="1"/>
  <c r="G53" i="7"/>
  <c r="I53" i="7"/>
  <c r="F53" i="7"/>
  <c r="H8" i="7" l="1"/>
  <c r="H41" i="7"/>
  <c r="K41" i="7" s="1"/>
  <c r="H13" i="7"/>
  <c r="H29" i="7"/>
  <c r="H34" i="7"/>
  <c r="K34" i="7" s="1"/>
  <c r="H44" i="7"/>
  <c r="H38" i="7"/>
  <c r="H35" i="7"/>
  <c r="H30" i="7"/>
  <c r="K30" i="7" s="1"/>
  <c r="H56" i="7"/>
  <c r="H14" i="7"/>
  <c r="K14" i="7" s="1"/>
  <c r="H39" i="7"/>
  <c r="K39" i="7" s="1"/>
  <c r="H40" i="7"/>
  <c r="K40" i="7" s="1"/>
  <c r="H17" i="7"/>
  <c r="K17" i="7" s="1"/>
  <c r="H57" i="7"/>
  <c r="H15" i="7"/>
  <c r="AU6" i="7"/>
  <c r="AR6" i="7" s="1"/>
  <c r="AZ6" i="7" s="1"/>
  <c r="H16" i="7"/>
  <c r="K16" i="7" s="1"/>
  <c r="H22" i="7"/>
  <c r="AU10" i="7"/>
  <c r="AR10" i="7" s="1"/>
  <c r="AZ10" i="7" s="1"/>
  <c r="H31" i="7"/>
  <c r="K31" i="7" s="1"/>
  <c r="H45" i="7"/>
  <c r="K45" i="7" s="1"/>
  <c r="AU11" i="7"/>
  <c r="AR11" i="7" s="1"/>
  <c r="AZ11" i="7" s="1"/>
  <c r="H9" i="7"/>
  <c r="K9" i="7" s="1"/>
  <c r="H43" i="7"/>
  <c r="K43" i="7" s="1"/>
  <c r="H24" i="7"/>
  <c r="H52" i="7"/>
  <c r="K52" i="7" s="1"/>
  <c r="AU8" i="7"/>
  <c r="AR8" i="7" s="1"/>
  <c r="AZ8" i="7" s="1"/>
  <c r="AU14" i="7"/>
  <c r="AR14" i="7" s="1"/>
  <c r="AZ14" i="7" s="1"/>
  <c r="H10" i="7"/>
  <c r="K10" i="7" s="1"/>
  <c r="H37" i="7"/>
  <c r="H28" i="7"/>
  <c r="H42" i="7"/>
  <c r="H48" i="7"/>
  <c r="H54" i="7"/>
  <c r="H53" i="7"/>
  <c r="K53" i="7" s="1"/>
  <c r="AU12" i="7"/>
  <c r="AR12" i="7" s="1"/>
  <c r="AZ12" i="7" s="1"/>
  <c r="H18" i="7"/>
  <c r="H11" i="7"/>
  <c r="H51" i="7"/>
  <c r="K51" i="7" s="1"/>
  <c r="AU16" i="7"/>
  <c r="AR16" i="7" s="1"/>
  <c r="AZ16" i="7" s="1"/>
  <c r="H19" i="7"/>
  <c r="H32" i="7"/>
  <c r="K32" i="7" s="1"/>
  <c r="C8" i="3"/>
  <c r="C26" i="3" s="1"/>
  <c r="H25" i="7"/>
  <c r="K25" i="7" s="1"/>
  <c r="H27" i="7"/>
  <c r="H55" i="7"/>
  <c r="AU15" i="7"/>
  <c r="AX15" i="7" s="1"/>
  <c r="AU7" i="7"/>
  <c r="AR7" i="7" s="1"/>
  <c r="AZ7" i="7" s="1"/>
  <c r="H33" i="7"/>
  <c r="H50" i="7"/>
  <c r="H20" i="7"/>
  <c r="AU13" i="7"/>
  <c r="AX13" i="7" s="1"/>
  <c r="H21" i="7"/>
  <c r="K21" i="7" s="1"/>
  <c r="H5" i="7"/>
  <c r="K5" i="7" s="1"/>
  <c r="H23" i="7"/>
  <c r="K23" i="7" s="1"/>
  <c r="AU17" i="7"/>
  <c r="AU9" i="7"/>
  <c r="AX9" i="7" s="1"/>
  <c r="AU5" i="7"/>
  <c r="H46" i="7"/>
  <c r="H36" i="7"/>
  <c r="K36" i="7" s="1"/>
  <c r="H47" i="7"/>
  <c r="H12" i="7"/>
  <c r="H49" i="7"/>
  <c r="H26" i="7"/>
  <c r="K26" i="7" s="1"/>
  <c r="AR15" i="7" l="1"/>
  <c r="AZ15" i="7" s="1"/>
  <c r="K19" i="7"/>
  <c r="K20" i="7"/>
  <c r="K35" i="7"/>
  <c r="K54" i="7"/>
  <c r="K49" i="7"/>
  <c r="K55" i="7"/>
  <c r="K46" i="7"/>
  <c r="K24" i="7"/>
  <c r="K11" i="7"/>
  <c r="K56" i="7"/>
  <c r="K18" i="7"/>
  <c r="K50" i="7"/>
  <c r="K38" i="7"/>
  <c r="K33" i="7"/>
  <c r="K44" i="7"/>
  <c r="K48" i="7"/>
  <c r="K12" i="7"/>
  <c r="K42" i="7"/>
  <c r="K22" i="7"/>
  <c r="K47" i="7"/>
  <c r="K28" i="7"/>
  <c r="K29" i="7"/>
  <c r="K37" i="7"/>
  <c r="K13" i="7"/>
  <c r="K27" i="7"/>
  <c r="K15" i="7"/>
  <c r="K57" i="7"/>
  <c r="K8" i="7"/>
  <c r="E26" i="3"/>
  <c r="E29" i="3" s="1"/>
  <c r="C29" i="3"/>
  <c r="I26" i="3"/>
  <c r="I29" i="3" s="1"/>
  <c r="G31" i="3"/>
  <c r="G34" i="3" s="1"/>
  <c r="AX6" i="7"/>
  <c r="AR13" i="7"/>
  <c r="AZ13" i="7" s="1"/>
  <c r="AX14" i="7"/>
  <c r="AX12" i="7"/>
  <c r="AX11" i="7"/>
  <c r="AR17" i="7"/>
  <c r="AZ17" i="7" s="1"/>
  <c r="AX8" i="7"/>
  <c r="AU42" i="7"/>
  <c r="AU40" i="7"/>
  <c r="AU28" i="7"/>
  <c r="AU24" i="7"/>
  <c r="AR5" i="7"/>
  <c r="AZ5" i="7" s="1"/>
  <c r="AX17" i="7"/>
  <c r="AX16" i="7"/>
  <c r="AU36" i="7"/>
  <c r="AX7" i="7"/>
  <c r="AU34" i="7"/>
  <c r="AU35" i="7"/>
  <c r="AU37" i="7"/>
  <c r="F26" i="3" s="1"/>
  <c r="F29" i="3" s="1"/>
  <c r="E31" i="3"/>
  <c r="E34" i="3" s="1"/>
  <c r="AU30" i="7"/>
  <c r="AU21" i="7"/>
  <c r="E5" i="7"/>
  <c r="AR9" i="7"/>
  <c r="AZ9" i="7" s="1"/>
  <c r="AX10" i="7"/>
  <c r="AU29" i="7"/>
  <c r="AU23" i="7"/>
  <c r="AU20" i="7"/>
  <c r="AU45" i="7"/>
  <c r="BE16" i="7"/>
  <c r="AU31" i="7"/>
  <c r="AU38" i="7"/>
  <c r="AU26" i="7"/>
  <c r="AU25" i="7"/>
  <c r="AU41" i="7"/>
  <c r="AU22" i="7"/>
  <c r="AU43" i="7"/>
  <c r="AU39" i="7"/>
  <c r="BE10" i="7"/>
  <c r="AX5" i="7"/>
  <c r="AU44" i="7"/>
  <c r="AU27" i="7"/>
  <c r="G26" i="3" l="1"/>
  <c r="G29" i="3" s="1"/>
  <c r="F31" i="3"/>
  <c r="F34" i="3" s="1"/>
  <c r="BA10" i="7"/>
  <c r="BA11" i="7" s="1"/>
  <c r="AR29" i="7"/>
  <c r="AR42" i="7"/>
  <c r="AR26" i="7"/>
  <c r="AR38" i="7"/>
  <c r="AR40" i="7"/>
  <c r="AR25" i="7"/>
  <c r="AR45" i="7"/>
  <c r="AR24" i="7"/>
  <c r="AR34" i="7"/>
  <c r="AR20" i="7"/>
  <c r="AR43" i="7"/>
  <c r="BA16" i="7"/>
  <c r="BA17" i="7" s="1"/>
  <c r="AR30" i="7"/>
  <c r="AR36" i="7"/>
  <c r="AR31" i="7"/>
  <c r="AR22" i="7"/>
  <c r="AR41" i="7"/>
  <c r="AR27" i="7"/>
  <c r="AR28" i="7"/>
  <c r="AR44" i="7"/>
  <c r="AR23" i="7"/>
  <c r="AR37" i="7"/>
  <c r="AR35" i="7"/>
  <c r="AR21" i="7"/>
  <c r="AR39" i="7"/>
  <c r="AX42" i="7"/>
  <c r="AX36" i="7"/>
  <c r="AX20" i="7"/>
  <c r="AX30" i="7"/>
  <c r="AX23" i="7"/>
  <c r="AX29" i="7"/>
  <c r="AX45" i="7"/>
  <c r="AX38" i="7"/>
  <c r="AX37" i="7"/>
  <c r="AX26" i="7"/>
  <c r="AX27" i="7"/>
  <c r="AX35" i="7"/>
  <c r="AX43" i="7"/>
  <c r="AX21" i="7"/>
  <c r="AX22" i="7"/>
  <c r="AX39" i="7"/>
  <c r="AX40" i="7"/>
  <c r="AX44" i="7"/>
  <c r="AX24" i="7"/>
  <c r="AX28" i="7"/>
  <c r="AX41" i="7"/>
  <c r="AX25" i="7"/>
  <c r="AX31" i="7"/>
  <c r="BG10" i="7"/>
  <c r="BG16" i="7"/>
  <c r="AX34"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青井 茜</author>
    <author>竹前　和洋</author>
    <author>竹前　和洋 PH-HEA637</author>
  </authors>
  <commentList>
    <comment ref="B12" authorId="0" shapeId="0" xr:uid="{00000000-0006-0000-0000-000001000000}">
      <text>
        <r>
          <rPr>
            <b/>
            <sz val="8"/>
            <color indexed="81"/>
            <rFont val="ＭＳ Ｐゴシック"/>
            <family val="3"/>
            <charset val="128"/>
          </rPr>
          <t>※「退職時標準報酬月額」と「前年９月末時点のＮＴＴ健康保険組合の標準報酬月額平均額」の低い額を当年度に適用します。</t>
        </r>
      </text>
    </comment>
    <comment ref="C19" authorId="1" shapeId="0" xr:uid="{00000000-0006-0000-0000-000002000000}">
      <text>
        <r>
          <rPr>
            <b/>
            <sz val="9"/>
            <color indexed="81"/>
            <rFont val="MS P ゴシック"/>
            <family val="3"/>
            <charset val="128"/>
          </rPr>
          <t>介護保険料の算定は、「1：あり」か「0：なし」での算定のみとなります。</t>
        </r>
      </text>
    </comment>
    <comment ref="F24" authorId="2" shapeId="0" xr:uid="{00000000-0006-0000-0000-000003000000}">
      <text>
        <r>
          <rPr>
            <b/>
            <sz val="9"/>
            <color indexed="81"/>
            <rFont val="MS P ゴシック"/>
            <family val="3"/>
            <charset val="128"/>
          </rPr>
          <t>取得日の翌月以降割引あり</t>
        </r>
      </text>
    </comment>
    <comment ref="G24" authorId="2" shapeId="0" xr:uid="{00000000-0006-0000-0000-000004000000}">
      <text>
        <r>
          <rPr>
            <b/>
            <sz val="9"/>
            <color indexed="81"/>
            <rFont val="MS P ゴシック"/>
            <family val="3"/>
            <charset val="128"/>
          </rPr>
          <t>取得日の翌月以降割引あり</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<sst xmlns="http://schemas.openxmlformats.org/spreadsheetml/2006/main" count="132" uniqueCount="96">
  <si>
    <t>標準報酬</t>
    <rPh sb="0" eb="4">
      <t>ヒョウジュンホウシュウ</t>
    </rPh>
    <phoneticPr fontId="3"/>
  </si>
  <si>
    <t>普通保険料</t>
    <rPh sb="0" eb="5">
      <t>フツウホケンリョウ</t>
    </rPh>
    <phoneticPr fontId="3"/>
  </si>
  <si>
    <t>特定</t>
    <rPh sb="0" eb="2">
      <t>トクテイ</t>
    </rPh>
    <phoneticPr fontId="3"/>
  </si>
  <si>
    <t>調整</t>
    <rPh sb="0" eb="2">
      <t>チョウセイ</t>
    </rPh>
    <phoneticPr fontId="3"/>
  </si>
  <si>
    <t>健康保険料</t>
    <rPh sb="0" eb="5">
      <t>ケンコウホケンリョウ</t>
    </rPh>
    <phoneticPr fontId="3"/>
  </si>
  <si>
    <t>介護保険料</t>
    <rPh sb="0" eb="5">
      <t>カイゴホケンリョウ</t>
    </rPh>
    <phoneticPr fontId="3"/>
  </si>
  <si>
    <t>任継保険料</t>
    <rPh sb="0" eb="2">
      <t>ニンケイ</t>
    </rPh>
    <rPh sb="2" eb="5">
      <t>ホケンリョウ</t>
    </rPh>
    <phoneticPr fontId="3"/>
  </si>
  <si>
    <t>一般納入倍率1</t>
    <rPh sb="0" eb="2">
      <t>イッパン</t>
    </rPh>
    <rPh sb="2" eb="4">
      <t>ノウニュウ</t>
    </rPh>
    <rPh sb="4" eb="6">
      <t>バイリツ</t>
    </rPh>
    <phoneticPr fontId="3"/>
  </si>
  <si>
    <t>一般納入倍率2</t>
    <rPh sb="0" eb="2">
      <t>イッパン</t>
    </rPh>
    <rPh sb="2" eb="4">
      <t>ノウニュウ</t>
    </rPh>
    <rPh sb="4" eb="6">
      <t>バイリツ</t>
    </rPh>
    <phoneticPr fontId="3"/>
  </si>
  <si>
    <t>一般納入倍率3</t>
    <rPh sb="0" eb="2">
      <t>イッパン</t>
    </rPh>
    <rPh sb="2" eb="4">
      <t>ノウニュウ</t>
    </rPh>
    <rPh sb="4" eb="6">
      <t>バイリツ</t>
    </rPh>
    <phoneticPr fontId="3"/>
  </si>
  <si>
    <t>一般納入倍率4</t>
    <rPh sb="0" eb="2">
      <t>イッパン</t>
    </rPh>
    <rPh sb="2" eb="4">
      <t>ノウニュウ</t>
    </rPh>
    <rPh sb="4" eb="6">
      <t>バイリツ</t>
    </rPh>
    <phoneticPr fontId="3"/>
  </si>
  <si>
    <t>一般納入倍率5</t>
    <rPh sb="0" eb="2">
      <t>イッパン</t>
    </rPh>
    <rPh sb="2" eb="4">
      <t>ノウニュウ</t>
    </rPh>
    <rPh sb="4" eb="6">
      <t>バイリツ</t>
    </rPh>
    <phoneticPr fontId="3"/>
  </si>
  <si>
    <t>一般納入倍率6</t>
    <rPh sb="0" eb="2">
      <t>イッパン</t>
    </rPh>
    <rPh sb="2" eb="4">
      <t>ノウニュウ</t>
    </rPh>
    <rPh sb="4" eb="6">
      <t>バイリツ</t>
    </rPh>
    <phoneticPr fontId="3"/>
  </si>
  <si>
    <t>一般納入倍率7</t>
    <rPh sb="0" eb="2">
      <t>イッパン</t>
    </rPh>
    <rPh sb="2" eb="4">
      <t>ノウニュウ</t>
    </rPh>
    <rPh sb="4" eb="6">
      <t>バイリツ</t>
    </rPh>
    <phoneticPr fontId="3"/>
  </si>
  <si>
    <t>一般納入倍率8</t>
    <rPh sb="0" eb="2">
      <t>イッパン</t>
    </rPh>
    <rPh sb="2" eb="4">
      <t>ノウニュウ</t>
    </rPh>
    <rPh sb="4" eb="6">
      <t>バイリツ</t>
    </rPh>
    <phoneticPr fontId="3"/>
  </si>
  <si>
    <t>一般納入倍率9</t>
    <rPh sb="0" eb="2">
      <t>イッパン</t>
    </rPh>
    <rPh sb="2" eb="4">
      <t>ノウニュウ</t>
    </rPh>
    <rPh sb="4" eb="6">
      <t>バイリツ</t>
    </rPh>
    <phoneticPr fontId="3"/>
  </si>
  <si>
    <t>一般納入倍率10</t>
    <rPh sb="0" eb="2">
      <t>イッパン</t>
    </rPh>
    <rPh sb="2" eb="4">
      <t>ノウニュウ</t>
    </rPh>
    <rPh sb="4" eb="6">
      <t>バイリツ</t>
    </rPh>
    <phoneticPr fontId="3"/>
  </si>
  <si>
    <t>一般納入倍率11</t>
    <rPh sb="0" eb="2">
      <t>イッパン</t>
    </rPh>
    <rPh sb="2" eb="4">
      <t>ノウニュウ</t>
    </rPh>
    <rPh sb="4" eb="6">
      <t>バイリツ</t>
    </rPh>
    <phoneticPr fontId="3"/>
  </si>
  <si>
    <t>一般納入倍率12</t>
    <rPh sb="0" eb="2">
      <t>イッパン</t>
    </rPh>
    <rPh sb="2" eb="4">
      <t>ノウニュウ</t>
    </rPh>
    <rPh sb="4" eb="6">
      <t>バイリツ</t>
    </rPh>
    <phoneticPr fontId="3"/>
  </si>
  <si>
    <t>普通保険料率</t>
    <rPh sb="0" eb="2">
      <t>フツウ</t>
    </rPh>
    <rPh sb="2" eb="5">
      <t>ホケンリョウ</t>
    </rPh>
    <rPh sb="5" eb="6">
      <t>リツ</t>
    </rPh>
    <phoneticPr fontId="3"/>
  </si>
  <si>
    <t>特定保険料率</t>
    <rPh sb="0" eb="5">
      <t>トクテイホケンリョウ</t>
    </rPh>
    <rPh sb="5" eb="6">
      <t>リツ</t>
    </rPh>
    <phoneticPr fontId="3"/>
  </si>
  <si>
    <t>調整保険料率</t>
    <rPh sb="0" eb="5">
      <t>チョウセイホケンリョウ</t>
    </rPh>
    <rPh sb="5" eb="6">
      <t>リツ</t>
    </rPh>
    <phoneticPr fontId="3"/>
  </si>
  <si>
    <t>健康保険料率</t>
    <rPh sb="0" eb="5">
      <t>ケンコウホケンリョウ</t>
    </rPh>
    <rPh sb="5" eb="6">
      <t>リツ</t>
    </rPh>
    <phoneticPr fontId="3"/>
  </si>
  <si>
    <t>介護保険料率</t>
    <rPh sb="0" eb="5">
      <t>カイゴホケンリョウ</t>
    </rPh>
    <rPh sb="5" eb="6">
      <t>リツ</t>
    </rPh>
    <phoneticPr fontId="3"/>
  </si>
  <si>
    <t>前納</t>
    <rPh sb="0" eb="2">
      <t>ゼンノウ</t>
    </rPh>
    <phoneticPr fontId="3"/>
  </si>
  <si>
    <t>前納保険料早見表</t>
  </si>
  <si>
    <t>ＮＴＴ健康保険組合</t>
  </si>
  <si>
    <t>標報等級</t>
    <rPh sb="0" eb="2">
      <t>ヒョウホウ</t>
    </rPh>
    <rPh sb="2" eb="4">
      <t>トウキュウ</t>
    </rPh>
    <phoneticPr fontId="3"/>
  </si>
  <si>
    <t>*</t>
    <phoneticPr fontId="3"/>
  </si>
  <si>
    <t>退職時の標準報酬月額</t>
    <phoneticPr fontId="3"/>
  </si>
  <si>
    <t>取得月</t>
    <phoneticPr fontId="3"/>
  </si>
  <si>
    <t>介護保険第2号被保険者</t>
    <phoneticPr fontId="3"/>
  </si>
  <si>
    <t>標準報酬月額</t>
    <phoneticPr fontId="3"/>
  </si>
  <si>
    <t>任継適用標報</t>
    <rPh sb="0" eb="2">
      <t>ニンケイ</t>
    </rPh>
    <rPh sb="2" eb="4">
      <t>テキヨウ</t>
    </rPh>
    <rPh sb="4" eb="6">
      <t>ヒョウホウ</t>
    </rPh>
    <phoneticPr fontId="3"/>
  </si>
  <si>
    <t>健康保険料率</t>
    <phoneticPr fontId="3"/>
  </si>
  <si>
    <t>月　額</t>
    <rPh sb="0" eb="1">
      <t>ツキ</t>
    </rPh>
    <rPh sb="2" eb="3">
      <t>ガク</t>
    </rPh>
    <phoneticPr fontId="3"/>
  </si>
  <si>
    <t>介護保険料率</t>
    <phoneticPr fontId="3"/>
  </si>
  <si>
    <t>毎月払い</t>
    <rPh sb="0" eb="2">
      <t>マイツキ</t>
    </rPh>
    <rPh sb="2" eb="3">
      <t>バラ</t>
    </rPh>
    <phoneticPr fontId="3"/>
  </si>
  <si>
    <t>半年払い</t>
    <rPh sb="0" eb="2">
      <t>ハントシ</t>
    </rPh>
    <rPh sb="2" eb="3">
      <t>バラ</t>
    </rPh>
    <phoneticPr fontId="3"/>
  </si>
  <si>
    <t>1年払い</t>
    <rPh sb="1" eb="2">
      <t>ネン</t>
    </rPh>
    <rPh sb="2" eb="3">
      <t>バラ</t>
    </rPh>
    <phoneticPr fontId="3"/>
  </si>
  <si>
    <t>健康保険料</t>
    <phoneticPr fontId="3"/>
  </si>
  <si>
    <t>介護保険料</t>
    <rPh sb="0" eb="2">
      <t>カイゴ</t>
    </rPh>
    <rPh sb="2" eb="4">
      <t>ホケン</t>
    </rPh>
    <rPh sb="4" eb="5">
      <t>リョウ</t>
    </rPh>
    <phoneticPr fontId="3"/>
  </si>
  <si>
    <t>※半年払いの場合、初回請求は取得月から9月、または3月までが請求されます。（最長３月~９月、９月~３月）</t>
    <rPh sb="1" eb="3">
      <t>ハントシ</t>
    </rPh>
    <rPh sb="3" eb="4">
      <t>ハラ</t>
    </rPh>
    <rPh sb="6" eb="8">
      <t>バアイ</t>
    </rPh>
    <rPh sb="9" eb="11">
      <t>ショカイ</t>
    </rPh>
    <rPh sb="11" eb="13">
      <t>セイキュウ</t>
    </rPh>
    <rPh sb="14" eb="16">
      <t>シュトク</t>
    </rPh>
    <rPh sb="16" eb="17">
      <t>ツキ</t>
    </rPh>
    <rPh sb="20" eb="21">
      <t>ガツ</t>
    </rPh>
    <rPh sb="26" eb="27">
      <t>ガツ</t>
    </rPh>
    <rPh sb="30" eb="32">
      <t>セイキュウ</t>
    </rPh>
    <rPh sb="38" eb="40">
      <t>サイチョウ</t>
    </rPh>
    <rPh sb="41" eb="42">
      <t>ガツ</t>
    </rPh>
    <rPh sb="44" eb="45">
      <t>ガツ</t>
    </rPh>
    <rPh sb="47" eb="48">
      <t>ガツ</t>
    </rPh>
    <rPh sb="50" eb="51">
      <t>ガツ</t>
    </rPh>
    <phoneticPr fontId="3"/>
  </si>
  <si>
    <t>※１年払いの場合、初回請求は取得月から3月までが請求されます。（最長３月~翌年３月）</t>
    <rPh sb="2" eb="3">
      <t>ネン</t>
    </rPh>
    <rPh sb="3" eb="4">
      <t>ハラ</t>
    </rPh>
    <rPh sb="6" eb="8">
      <t>バアイ</t>
    </rPh>
    <rPh sb="9" eb="11">
      <t>ショカイ</t>
    </rPh>
    <rPh sb="11" eb="13">
      <t>セイキュウ</t>
    </rPh>
    <rPh sb="14" eb="16">
      <t>シュトク</t>
    </rPh>
    <rPh sb="16" eb="17">
      <t>ツキ</t>
    </rPh>
    <rPh sb="20" eb="21">
      <t>ガツ</t>
    </rPh>
    <rPh sb="24" eb="26">
      <t>セイキュウ</t>
    </rPh>
    <rPh sb="32" eb="34">
      <t>サイチョウ</t>
    </rPh>
    <rPh sb="35" eb="36">
      <t>ガツ</t>
    </rPh>
    <rPh sb="37" eb="39">
      <t>ヨクネン</t>
    </rPh>
    <rPh sb="40" eb="41">
      <t>ガツ</t>
    </rPh>
    <phoneticPr fontId="3"/>
  </si>
  <si>
    <t>※前納の場合、取得日及び端数処理により、実際の請求額と一致しない場合があります。</t>
    <rPh sb="1" eb="3">
      <t>ゼンノウ</t>
    </rPh>
    <rPh sb="4" eb="6">
      <t>バアイ</t>
    </rPh>
    <rPh sb="7" eb="9">
      <t>シュトク</t>
    </rPh>
    <rPh sb="9" eb="10">
      <t>ヒ</t>
    </rPh>
    <rPh sb="10" eb="11">
      <t>オヨ</t>
    </rPh>
    <rPh sb="12" eb="14">
      <t>ハスウ</t>
    </rPh>
    <rPh sb="14" eb="16">
      <t>ショリ</t>
    </rPh>
    <rPh sb="20" eb="22">
      <t>ジッサイ</t>
    </rPh>
    <rPh sb="23" eb="25">
      <t>セイキュウ</t>
    </rPh>
    <rPh sb="25" eb="26">
      <t>ガク</t>
    </rPh>
    <rPh sb="27" eb="29">
      <t>イッチ</t>
    </rPh>
    <rPh sb="32" eb="34">
      <t>バアイ</t>
    </rPh>
    <phoneticPr fontId="3"/>
  </si>
  <si>
    <t>前納月</t>
    <rPh sb="0" eb="2">
      <t>ゼンノウ</t>
    </rPh>
    <rPh sb="2" eb="3">
      <t>ツキ</t>
    </rPh>
    <phoneticPr fontId="3"/>
  </si>
  <si>
    <t>取得月</t>
    <rPh sb="0" eb="2">
      <t>シュトク</t>
    </rPh>
    <rPh sb="2" eb="3">
      <t>ツキ</t>
    </rPh>
    <phoneticPr fontId="3"/>
  </si>
  <si>
    <t>1年払い</t>
    <rPh sb="1" eb="3">
      <t>ネンバラ</t>
    </rPh>
    <phoneticPr fontId="3"/>
  </si>
  <si>
    <t>翌年3</t>
    <rPh sb="0" eb="2">
      <t>ヨクネン</t>
    </rPh>
    <phoneticPr fontId="3"/>
  </si>
  <si>
    <t>毎月払い請求エンド</t>
    <rPh sb="0" eb="2">
      <t>マイツキ</t>
    </rPh>
    <rPh sb="2" eb="3">
      <t>バラ</t>
    </rPh>
    <rPh sb="4" eb="6">
      <t>セイキュウ</t>
    </rPh>
    <phoneticPr fontId="3"/>
  </si>
  <si>
    <t>初回請求月と概算額</t>
    <rPh sb="0" eb="2">
      <t>ショカイ</t>
    </rPh>
    <rPh sb="2" eb="4">
      <t>セイキュウ</t>
    </rPh>
    <rPh sb="4" eb="5">
      <t>ツキ</t>
    </rPh>
    <rPh sb="6" eb="8">
      <t>ガイサン</t>
    </rPh>
    <rPh sb="8" eb="9">
      <t>ガク</t>
    </rPh>
    <phoneticPr fontId="3"/>
  </si>
  <si>
    <t>任意継続保険保険料概算額</t>
    <rPh sb="9" eb="11">
      <t>ガイサン</t>
    </rPh>
    <rPh sb="11" eb="12">
      <t>ガク</t>
    </rPh>
    <phoneticPr fontId="3"/>
  </si>
  <si>
    <t>納入倍率</t>
    <rPh sb="0" eb="2">
      <t>ノウニュウ</t>
    </rPh>
    <rPh sb="2" eb="4">
      <t>バイリツ</t>
    </rPh>
    <phoneticPr fontId="3"/>
  </si>
  <si>
    <t>保険料率</t>
    <rPh sb="0" eb="4">
      <t>ホケンリョウリツ</t>
    </rPh>
    <phoneticPr fontId="3"/>
  </si>
  <si>
    <t>料率表の最低等級行</t>
    <rPh sb="0" eb="2">
      <t>リョウリツ</t>
    </rPh>
    <rPh sb="2" eb="3">
      <t>ヒョウ</t>
    </rPh>
    <rPh sb="8" eb="9">
      <t>ギョウ</t>
    </rPh>
    <phoneticPr fontId="3"/>
  </si>
  <si>
    <t>適用標報</t>
    <rPh sb="0" eb="2">
      <t>テキヨウ</t>
    </rPh>
    <rPh sb="2" eb="4">
      <t>ヒョウホウ</t>
    </rPh>
    <phoneticPr fontId="3"/>
  </si>
  <si>
    <t>保険料算定ワークエリア</t>
    <rPh sb="0" eb="3">
      <t>ホケンリョウ</t>
    </rPh>
    <rPh sb="3" eb="5">
      <t>サンテイ</t>
    </rPh>
    <phoneticPr fontId="3"/>
  </si>
  <si>
    <t>マスタメンテ（オレンジ網掛けの値または範囲が変わった場合は変更要）</t>
    <rPh sb="11" eb="13">
      <t>アミカ</t>
    </rPh>
    <rPh sb="15" eb="16">
      <t>アタイ</t>
    </rPh>
    <rPh sb="19" eb="21">
      <t>ハンイ</t>
    </rPh>
    <rPh sb="22" eb="23">
      <t>カ</t>
    </rPh>
    <rPh sb="26" eb="28">
      <t>バアイ</t>
    </rPh>
    <rPh sb="29" eb="31">
      <t>ヘンコウ</t>
    </rPh>
    <rPh sb="31" eb="32">
      <t>ヨウ</t>
    </rPh>
    <phoneticPr fontId="3"/>
  </si>
  <si>
    <t>合　　計</t>
    <rPh sb="0" eb="1">
      <t>ゴウ</t>
    </rPh>
    <rPh sb="3" eb="4">
      <t>ケイ</t>
    </rPh>
    <phoneticPr fontId="3"/>
  </si>
  <si>
    <t>※年度を跨いだ場合、保険料率改定により実際の請求額と一致しない場合があります。</t>
    <rPh sb="1" eb="3">
      <t>ネンド</t>
    </rPh>
    <rPh sb="4" eb="5">
      <t>マタ</t>
    </rPh>
    <rPh sb="7" eb="9">
      <t>バアイ</t>
    </rPh>
    <rPh sb="10" eb="13">
      <t>ホケンリョウ</t>
    </rPh>
    <rPh sb="13" eb="14">
      <t>リツ</t>
    </rPh>
    <rPh sb="14" eb="16">
      <t>カイテイ</t>
    </rPh>
    <rPh sb="19" eb="21">
      <t>ジッサイ</t>
    </rPh>
    <rPh sb="22" eb="24">
      <t>セイキュウ</t>
    </rPh>
    <rPh sb="24" eb="25">
      <t>ガク</t>
    </rPh>
    <rPh sb="26" eb="28">
      <t>イッチ</t>
    </rPh>
    <rPh sb="31" eb="33">
      <t>バアイ</t>
    </rPh>
    <phoneticPr fontId="3"/>
  </si>
  <si>
    <t>2回目以降の毎月請求額</t>
    <rPh sb="1" eb="3">
      <t>カイメ</t>
    </rPh>
    <rPh sb="3" eb="5">
      <t>イコウ</t>
    </rPh>
    <rPh sb="6" eb="8">
      <t>マイツキ</t>
    </rPh>
    <rPh sb="8" eb="10">
      <t>セイキュウ</t>
    </rPh>
    <rPh sb="10" eb="11">
      <t>ガク</t>
    </rPh>
    <phoneticPr fontId="3"/>
  </si>
  <si>
    <t>任意継続保険で適用される
標準報酬月額</t>
    <phoneticPr fontId="3"/>
  </si>
  <si>
    <r>
      <t xml:space="preserve">  黄色のセルにデータを入力することで初回保険料請求額についておおよその請求額を算出するツールです。
  （前納の場合、取得日及び端数処理により、実際の請求額と</t>
    </r>
    <r>
      <rPr>
        <b/>
        <u/>
        <sz val="11"/>
        <rFont val="Meiryo UI"/>
        <family val="3"/>
        <charset val="128"/>
      </rPr>
      <t>一致しない場合があります</t>
    </r>
    <r>
      <rPr>
        <b/>
        <sz val="11"/>
        <rFont val="Meiryo UI"/>
        <family val="3"/>
        <charset val="128"/>
      </rPr>
      <t>。）
・保険料率が改定された場合は実際の請求額も変わります。
・退職日までに随時改定や定時決定により標準報酬が改定された場合、実際の請求額も変わります。</t>
    </r>
    <rPh sb="96" eb="99">
      <t>ホケンリョウ</t>
    </rPh>
    <rPh sb="99" eb="100">
      <t>リツ</t>
    </rPh>
    <rPh sb="101" eb="103">
      <t>カイテイ</t>
    </rPh>
    <rPh sb="106" eb="108">
      <t>バアイ</t>
    </rPh>
    <rPh sb="109" eb="111">
      <t>ジッサイ</t>
    </rPh>
    <rPh sb="112" eb="114">
      <t>セイキュウ</t>
    </rPh>
    <rPh sb="114" eb="115">
      <t>ガク</t>
    </rPh>
    <rPh sb="116" eb="117">
      <t>カ</t>
    </rPh>
    <rPh sb="124" eb="126">
      <t>タイショク</t>
    </rPh>
    <rPh sb="126" eb="127">
      <t>ヒ</t>
    </rPh>
    <rPh sb="130" eb="134">
      <t>ズイジカイテイ</t>
    </rPh>
    <rPh sb="135" eb="139">
      <t>テイジケッテイ</t>
    </rPh>
    <rPh sb="142" eb="146">
      <t>ヒョウジュンホウシュウ</t>
    </rPh>
    <rPh sb="147" eb="149">
      <t>カイテイ</t>
    </rPh>
    <rPh sb="152" eb="154">
      <t>バアイ</t>
    </rPh>
    <rPh sb="155" eb="157">
      <t>ジッサイ</t>
    </rPh>
    <rPh sb="158" eb="161">
      <t>セイキュウガク</t>
    </rPh>
    <rPh sb="162" eb="163">
      <t>カ</t>
    </rPh>
    <phoneticPr fontId="3"/>
  </si>
  <si>
    <t>※毎月払いの場合、初回請求は通常2か月分請求されますが、取得日及びタイミングにより３か月分請求される場合もあります。</t>
    <rPh sb="1" eb="3">
      <t>マイツキ</t>
    </rPh>
    <rPh sb="3" eb="4">
      <t>バラ</t>
    </rPh>
    <rPh sb="6" eb="8">
      <t>バアイ</t>
    </rPh>
    <rPh sb="9" eb="11">
      <t>ショカイ</t>
    </rPh>
    <rPh sb="11" eb="13">
      <t>セイキュウ</t>
    </rPh>
    <rPh sb="14" eb="16">
      <t>ツウジョウ</t>
    </rPh>
    <rPh sb="18" eb="19">
      <t>ゲツ</t>
    </rPh>
    <rPh sb="19" eb="20">
      <t>ブン</t>
    </rPh>
    <rPh sb="20" eb="22">
      <t>セイキュウ</t>
    </rPh>
    <rPh sb="28" eb="31">
      <t>シュトクビ</t>
    </rPh>
    <rPh sb="31" eb="32">
      <t>オヨ</t>
    </rPh>
    <rPh sb="43" eb="44">
      <t>ゲツ</t>
    </rPh>
    <rPh sb="44" eb="45">
      <t>ブン</t>
    </rPh>
    <rPh sb="45" eb="47">
      <t>セイキュウ</t>
    </rPh>
    <rPh sb="50" eb="52">
      <t>バアイ</t>
    </rPh>
    <phoneticPr fontId="3"/>
  </si>
  <si>
    <t>標準報酬月額等級及び適用平均標報一覧</t>
    <rPh sb="0" eb="4">
      <t>ヒョウジュンホウシュウ</t>
    </rPh>
    <rPh sb="4" eb="6">
      <t>ゲツガク</t>
    </rPh>
    <rPh sb="6" eb="8">
      <t>トウキュウ</t>
    </rPh>
    <rPh sb="8" eb="9">
      <t>オヨ</t>
    </rPh>
    <rPh sb="10" eb="12">
      <t>テキヨウ</t>
    </rPh>
    <rPh sb="12" eb="14">
      <t>ヘイキン</t>
    </rPh>
    <rPh sb="14" eb="16">
      <t>ヒョウホウ</t>
    </rPh>
    <rPh sb="16" eb="18">
      <t>イチラン</t>
    </rPh>
    <phoneticPr fontId="3"/>
  </si>
  <si>
    <t>◆令和7年度保険料率</t>
    <phoneticPr fontId="3"/>
  </si>
  <si>
    <t>4月~3月</t>
    <rPh sb="1" eb="2">
      <t>ガツ</t>
    </rPh>
    <rPh sb="4" eb="5">
      <t>ガツ</t>
    </rPh>
    <phoneticPr fontId="3"/>
  </si>
  <si>
    <t>2年目</t>
    <rPh sb="1" eb="3">
      <t>ネンメ</t>
    </rPh>
    <phoneticPr fontId="3"/>
  </si>
  <si>
    <t>一般保険料
（普通+特定）</t>
    <rPh sb="0" eb="2">
      <t>イッパン</t>
    </rPh>
    <rPh sb="2" eb="5">
      <t>ホケンリョウ</t>
    </rPh>
    <rPh sb="7" eb="9">
      <t>フツウ</t>
    </rPh>
    <rPh sb="10" eb="12">
      <t>トクテイ</t>
    </rPh>
    <phoneticPr fontId="3"/>
  </si>
  <si>
    <t>(令和 8年 4月～)</t>
    <phoneticPr fontId="3"/>
  </si>
  <si>
    <t>ＮＴＴ健康保険組合</t>
    <rPh sb="3" eb="5">
      <t>ケンコウ</t>
    </rPh>
    <rPh sb="5" eb="7">
      <t>ホケン</t>
    </rPh>
    <rPh sb="7" eb="9">
      <t>クミアイ</t>
    </rPh>
    <phoneticPr fontId="3"/>
  </si>
  <si>
    <t>令和7年9月末の
標準報酬月額の平均</t>
    <rPh sb="0" eb="2">
      <t>レイワ</t>
    </rPh>
    <rPh sb="3" eb="4">
      <t>ネン</t>
    </rPh>
    <rPh sb="5" eb="6">
      <t>ガツ</t>
    </rPh>
    <rPh sb="6" eb="7">
      <t>マツ</t>
    </rPh>
    <rPh sb="9" eb="11">
      <t>ヒョウジュン</t>
    </rPh>
    <rPh sb="11" eb="13">
      <t>ホウシュウ</t>
    </rPh>
    <rPh sb="13" eb="15">
      <t>ゲツガク</t>
    </rPh>
    <rPh sb="16" eb="18">
      <t>ヘイキン</t>
    </rPh>
    <phoneticPr fontId="3"/>
  </si>
  <si>
    <t>※保険料算定の基となる任意継続保険適用の標準報酬月額は、「退職時の標準報酬月額」と「前年9月末の標準報酬月額の平均」を比較し低い額を適用します。</t>
    <rPh sb="42" eb="44">
      <t>ゼンネン</t>
    </rPh>
    <rPh sb="45" eb="46">
      <t>ガツ</t>
    </rPh>
    <rPh sb="46" eb="47">
      <t>マツ</t>
    </rPh>
    <rPh sb="59" eb="61">
      <t>ヒカク</t>
    </rPh>
    <phoneticPr fontId="3"/>
  </si>
  <si>
    <t>　　　⇩</t>
    <phoneticPr fontId="3"/>
  </si>
  <si>
    <t>※保険料率が変わった場合は保険料率の再設定が必要です。（「マスタ」シートを再表示し設定変更）</t>
    <rPh sb="1" eb="3">
      <t>ホケン</t>
    </rPh>
    <rPh sb="3" eb="4">
      <t>リョウ</t>
    </rPh>
    <rPh sb="4" eb="5">
      <t>リツ</t>
    </rPh>
    <rPh sb="6" eb="7">
      <t>カ</t>
    </rPh>
    <rPh sb="10" eb="12">
      <t>バアイ</t>
    </rPh>
    <rPh sb="13" eb="16">
      <t>ホケンリョウ</t>
    </rPh>
    <rPh sb="16" eb="17">
      <t>リツ</t>
    </rPh>
    <rPh sb="18" eb="19">
      <t>サイ</t>
    </rPh>
    <rPh sb="19" eb="21">
      <t>セッテイ</t>
    </rPh>
    <rPh sb="22" eb="24">
      <t>ヒツヨウ</t>
    </rPh>
    <rPh sb="37" eb="38">
      <t>サイ</t>
    </rPh>
    <rPh sb="38" eb="40">
      <t>ヒョウジ</t>
    </rPh>
    <rPh sb="41" eb="43">
      <t>セッテイ</t>
    </rPh>
    <rPh sb="43" eb="45">
      <t>ヘンコウ</t>
    </rPh>
    <phoneticPr fontId="3"/>
  </si>
  <si>
    <t>子ども支援金</t>
    <rPh sb="0" eb="1">
      <t>コ</t>
    </rPh>
    <rPh sb="3" eb="5">
      <t>シエン</t>
    </rPh>
    <rPh sb="5" eb="6">
      <t>キン</t>
    </rPh>
    <phoneticPr fontId="3"/>
  </si>
  <si>
    <t>子ども支援金率</t>
    <rPh sb="0" eb="1">
      <t>コ</t>
    </rPh>
    <rPh sb="3" eb="5">
      <t>シエン</t>
    </rPh>
    <rPh sb="5" eb="6">
      <t>キン</t>
    </rPh>
    <rPh sb="6" eb="7">
      <t>リツ</t>
    </rPh>
    <phoneticPr fontId="3"/>
  </si>
  <si>
    <t>※４０歳以上６５歳未満が対象。対象の場合は「1」を入力してください。
※年度途中で上記年齢をまたぐ場合本ツールでは対応できません。
（請求対象期間全てに対し介護保険料請求は「あり」か「なし」での算定となります）</t>
    <rPh sb="3" eb="4">
      <t>サイ</t>
    </rPh>
    <rPh sb="4" eb="6">
      <t>イジョウ</t>
    </rPh>
    <rPh sb="8" eb="9">
      <t>サイ</t>
    </rPh>
    <rPh sb="9" eb="11">
      <t>ミマン</t>
    </rPh>
    <rPh sb="12" eb="14">
      <t>タイショウ</t>
    </rPh>
    <phoneticPr fontId="3"/>
  </si>
  <si>
    <t>※退職日の翌日の月</t>
    <rPh sb="1" eb="3">
      <t>タイショク</t>
    </rPh>
    <rPh sb="3" eb="4">
      <t>ビ</t>
    </rPh>
    <rPh sb="5" eb="7">
      <t>ヨクジツ</t>
    </rPh>
    <rPh sb="8" eb="9">
      <t>ツキ</t>
    </rPh>
    <phoneticPr fontId="3"/>
  </si>
  <si>
    <t>子ども・子育て支援金率</t>
    <rPh sb="0" eb="1">
      <t>コ</t>
    </rPh>
    <rPh sb="4" eb="6">
      <t>コソダ</t>
    </rPh>
    <rPh sb="7" eb="10">
      <t>シエンキン</t>
    </rPh>
    <rPh sb="10" eb="11">
      <t>リツ</t>
    </rPh>
    <phoneticPr fontId="3"/>
  </si>
  <si>
    <t>子ども・子育て支援金</t>
    <phoneticPr fontId="3"/>
  </si>
  <si>
    <t>⇐子ども支援金</t>
    <rPh sb="1" eb="2">
      <t>コ</t>
    </rPh>
    <rPh sb="4" eb="6">
      <t>シエン</t>
    </rPh>
    <rPh sb="6" eb="7">
      <t>キン</t>
    </rPh>
    <phoneticPr fontId="3"/>
  </si>
  <si>
    <t>⇐子ども支援金率（R8.4から）</t>
    <rPh sb="1" eb="2">
      <t>コ</t>
    </rPh>
    <rPh sb="4" eb="6">
      <t>シエン</t>
    </rPh>
    <rPh sb="6" eb="7">
      <t>キン</t>
    </rPh>
    <rPh sb="7" eb="8">
      <t>リツ</t>
    </rPh>
    <phoneticPr fontId="3"/>
  </si>
  <si>
    <t>1年請求エンド</t>
    <rPh sb="1" eb="2">
      <t>ネン</t>
    </rPh>
    <rPh sb="2" eb="4">
      <t>セイキュウ</t>
    </rPh>
    <phoneticPr fontId="3"/>
  </si>
  <si>
    <t>半年請求エンド</t>
    <rPh sb="0" eb="2">
      <t>ハントシ</t>
    </rPh>
    <rPh sb="2" eb="4">
      <t>セイキュウ</t>
    </rPh>
    <phoneticPr fontId="3"/>
  </si>
  <si>
    <t>半年前納初回請求額と未経過保険料返還額</t>
    <rPh sb="0" eb="2">
      <t>ハントシ</t>
    </rPh>
    <rPh sb="2" eb="4">
      <t>ゼンノウ</t>
    </rPh>
    <rPh sb="4" eb="6">
      <t>ショカイ</t>
    </rPh>
    <rPh sb="6" eb="8">
      <t>セイキュウ</t>
    </rPh>
    <rPh sb="8" eb="9">
      <t>ガク</t>
    </rPh>
    <rPh sb="10" eb="13">
      <t>ミケイカ</t>
    </rPh>
    <rPh sb="13" eb="16">
      <t>ホケンリョウ</t>
    </rPh>
    <rPh sb="16" eb="18">
      <t>ヘンカン</t>
    </rPh>
    <rPh sb="18" eb="19">
      <t>ガク</t>
    </rPh>
    <phoneticPr fontId="3"/>
  </si>
  <si>
    <t>1年前納初回請求額と未経過保険料返還額</t>
    <rPh sb="1" eb="2">
      <t>ネン</t>
    </rPh>
    <rPh sb="2" eb="4">
      <t>ゼンノウ</t>
    </rPh>
    <rPh sb="4" eb="6">
      <t>ショカイ</t>
    </rPh>
    <rPh sb="6" eb="8">
      <t>セイキュウ</t>
    </rPh>
    <rPh sb="8" eb="9">
      <t>ガク</t>
    </rPh>
    <rPh sb="10" eb="13">
      <t>ミケイカ</t>
    </rPh>
    <rPh sb="13" eb="16">
      <t>ホケンリョウ</t>
    </rPh>
    <rPh sb="16" eb="18">
      <t>ヘンカン</t>
    </rPh>
    <rPh sb="18" eb="19">
      <t>ガク</t>
    </rPh>
    <phoneticPr fontId="3"/>
  </si>
  <si>
    <t>２年目（率変更無想定）</t>
    <phoneticPr fontId="3"/>
  </si>
  <si>
    <t>支援</t>
    <rPh sb="0" eb="2">
      <t>シエン</t>
    </rPh>
    <phoneticPr fontId="3"/>
  </si>
  <si>
    <t>計</t>
    <rPh sb="0" eb="1">
      <t>ケイ</t>
    </rPh>
    <phoneticPr fontId="3"/>
  </si>
  <si>
    <t>介護</t>
    <rPh sb="0" eb="2">
      <t>カイゴ</t>
    </rPh>
    <phoneticPr fontId="3"/>
  </si>
  <si>
    <t>健康</t>
    <rPh sb="0" eb="2">
      <t>ケンコウ</t>
    </rPh>
    <phoneticPr fontId="3"/>
  </si>
  <si>
    <t>普通</t>
    <rPh sb="0" eb="2">
      <t>フツウ</t>
    </rPh>
    <phoneticPr fontId="3"/>
  </si>
  <si>
    <t>ツールと早見表の差額</t>
    <rPh sb="4" eb="7">
      <t>ハヤミヒョウ</t>
    </rPh>
    <rPh sb="8" eb="10">
      <t>サガク</t>
    </rPh>
    <phoneticPr fontId="3"/>
  </si>
  <si>
    <t>R8早見表</t>
    <rPh sb="2" eb="5">
      <t>ハヤミヒョウ</t>
    </rPh>
    <phoneticPr fontId="3"/>
  </si>
  <si>
    <t>任意継続保険料算定ツール（令和8年度版）</t>
    <rPh sb="0" eb="2">
      <t>ニンイ</t>
    </rPh>
    <rPh sb="2" eb="4">
      <t>ケイゾク</t>
    </rPh>
    <rPh sb="4" eb="7">
      <t>ホケンリョウ</t>
    </rPh>
    <rPh sb="7" eb="9">
      <t>サンテイ</t>
    </rPh>
    <rPh sb="13" eb="15">
      <t>レイワ</t>
    </rPh>
    <rPh sb="16" eb="18">
      <t>ネンド</t>
    </rPh>
    <rPh sb="18" eb="19">
      <t>バン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</si>
</sst>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Red]\(0\)"/>
    <numFmt numFmtId="177" formatCode="0.000_ "/>
    <numFmt numFmtId="178" formatCode="0.00_ "/>
    <numFmt numFmtId="179" formatCode="0.0"/>
  </numFmts>
  <fonts count="47">
    <font>
      <sz val="11"/>
      <color theme="1"/>
      <name val="游ゴシック"/>
      <family val="2"/>
      <charset val="128"/>
      <scheme val="minor"/>
    </font>
    <font>
      <sz val="11"/>
      <color rgb="FFFF0000"/>
      <name val="游ゴシック"/>
      <family val="2"/>
      <charset val="128"/>
      <scheme val="minor"/>
    </font>
    <font>
      <b/>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b/>
      <sz val="11"/>
      <color theme="1"/>
      <name val="游ゴシック"/>
      <family val="3"/>
      <charset val="128"/>
      <scheme val="minor"/>
    </font>
    <font>
      <sz val="11"/>
      <name val="ＭＳ Ｐゴシック"/>
      <family val="3"/>
      <charset val="128"/>
    </font>
    <font>
      <b/>
      <sz val="12"/>
      <color rgb="FFFF0000"/>
      <name val="Meiryo UI"/>
      <family val="3"/>
      <charset val="128"/>
    </font>
    <font>
      <sz val="11"/>
      <name val="Meiryo UI"/>
      <family val="3"/>
      <charset val="128"/>
    </font>
    <font>
      <b/>
      <sz val="10"/>
      <name val="Meiryo UI"/>
      <family val="3"/>
      <charset val="128"/>
    </font>
    <font>
      <sz val="12"/>
      <name val="Meiryo UI"/>
      <family val="3"/>
      <charset val="128"/>
    </font>
    <font>
      <sz val="8"/>
      <name val="Meiryo UI"/>
      <family val="3"/>
      <charset val="128"/>
    </font>
    <font>
      <sz val="10"/>
      <name val="Meiryo UI"/>
      <family val="3"/>
      <charset val="128"/>
    </font>
    <font>
      <b/>
      <sz val="8"/>
      <color indexed="81"/>
      <name val="ＭＳ Ｐゴシック"/>
      <family val="3"/>
      <charset val="128"/>
    </font>
    <font>
      <sz val="10"/>
      <color theme="0"/>
      <name val="Meiryo UI"/>
      <family val="3"/>
      <charset val="128"/>
    </font>
    <font>
      <sz val="10"/>
      <color theme="0" tint="-0.34998626667073579"/>
      <name val="Meiryo UI"/>
      <family val="3"/>
      <charset val="128"/>
    </font>
    <font>
      <sz val="9"/>
      <name val="Meiryo UI"/>
      <family val="3"/>
      <charset val="128"/>
    </font>
    <font>
      <b/>
      <sz val="12"/>
      <name val="Meiryo UI"/>
      <family val="3"/>
      <charset val="128"/>
    </font>
    <font>
      <b/>
      <sz val="11"/>
      <name val="Meiryo UI"/>
      <family val="3"/>
      <charset val="128"/>
    </font>
    <font>
      <b/>
      <sz val="11"/>
      <color theme="1"/>
      <name val="Meiryo UI"/>
      <family val="3"/>
      <charset val="128"/>
    </font>
    <font>
      <b/>
      <sz val="9"/>
      <color indexed="81"/>
      <name val="MS P ゴシック"/>
      <family val="3"/>
      <charset val="128"/>
    </font>
    <font>
      <b/>
      <sz val="11"/>
      <color rgb="FFFF0000"/>
      <name val="Meiryo UI"/>
      <family val="3"/>
      <charset val="128"/>
    </font>
    <font>
      <b/>
      <u/>
      <sz val="11"/>
      <name val="Meiryo UI"/>
      <family val="3"/>
      <charset val="128"/>
    </font>
    <font>
      <b/>
      <sz val="16"/>
      <color rgb="FFFF0000"/>
      <name val="游ゴシック"/>
      <family val="3"/>
      <charset val="128"/>
      <scheme val="minor"/>
    </font>
    <font>
      <b/>
      <sz val="22"/>
      <color rgb="FFFF0000"/>
      <name val="Meiryo UI"/>
      <family val="3"/>
      <charset val="128"/>
    </font>
    <font>
      <sz val="11"/>
      <color rgb="FFFF0000"/>
      <name val="Meiryo UI"/>
      <family val="3"/>
      <charset val="128"/>
    </font>
    <font>
      <b/>
      <sz val="18"/>
      <color rgb="FFFF0000"/>
      <name val="游ゴシック"/>
      <family val="3"/>
      <charset val="128"/>
      <scheme val="minor"/>
    </font>
    <font>
      <sz val="18"/>
      <color theme="1"/>
      <name val="游ゴシック"/>
      <family val="3"/>
      <charset val="128"/>
      <scheme val="minor"/>
    </font>
    <font>
      <b/>
      <sz val="12"/>
      <color theme="0"/>
      <name val="Meiryo UI"/>
      <family val="3"/>
      <charset val="128"/>
    </font>
    <font>
      <b/>
      <sz val="11"/>
      <color rgb="FFFF0000"/>
      <name val="游ゴシック"/>
      <family val="3"/>
      <charset val="128"/>
      <scheme val="minor"/>
    </font>
    <font>
      <b/>
      <sz val="11"/>
      <color theme="0" tint="-0.34998626667073579"/>
      <name val="游ゴシック"/>
      <family val="3"/>
      <charset val="128"/>
      <scheme val="minor"/>
    </font>
    <font>
      <sz val="11"/>
      <color theme="0" tint="-0.34998626667073579"/>
      <name val="游ゴシック"/>
      <family val="3"/>
      <charset val="128"/>
      <scheme val="minor"/>
    </font>
    <font>
      <sz val="11"/>
      <color rgb="FF0070C0"/>
      <name val="游ゴシック"/>
      <family val="2"/>
      <charset val="128"/>
      <scheme val="minor"/>
    </font>
    <font>
      <sz val="11"/>
      <color rgb="FF0070C0"/>
      <name val="游ゴシック"/>
      <family val="3"/>
      <charset val="128"/>
      <scheme val="minor"/>
    </font>
    <font>
      <b/>
      <sz val="11"/>
      <color rgb="FF0070C0"/>
      <name val="游ゴシック"/>
      <family val="3"/>
      <charset val="128"/>
      <scheme val="minor"/>
    </font>
    <font>
      <b/>
      <sz val="10"/>
      <color rgb="FF0070C0"/>
      <name val="Meiryo UI"/>
      <family val="3"/>
      <charset val="128"/>
    </font>
    <font>
      <sz val="10"/>
      <color theme="9" tint="-0.499984740745262"/>
      <name val="Meiryo UI"/>
      <family val="3"/>
      <charset val="128"/>
    </font>
    <font>
      <b/>
      <sz val="11"/>
      <color theme="9" tint="-0.499984740745262"/>
      <name val="Meiryo UI"/>
      <family val="3"/>
      <charset val="128"/>
    </font>
    <font>
      <b/>
      <sz val="16"/>
      <name val="Meiryo UI"/>
      <family val="3"/>
      <charset val="128"/>
    </font>
    <font>
      <sz val="9"/>
      <color theme="0" tint="-0.249977111117893"/>
      <name val="Meiryo UI"/>
      <family val="3"/>
      <charset val="128"/>
    </font>
    <font>
      <b/>
      <sz val="18"/>
      <color rgb="FF0070C0"/>
      <name val="游ゴシック"/>
      <family val="3"/>
      <charset val="128"/>
      <scheme val="minor"/>
    </font>
    <font>
      <b/>
      <sz val="12"/>
      <color theme="1"/>
      <name val="Meiryo UI"/>
      <family val="3"/>
      <charset val="128"/>
    </font>
    <font>
      <b/>
      <sz val="16"/>
      <color theme="1"/>
      <name val="Meiryo UI"/>
      <family val="3"/>
      <charset val="128"/>
    </font>
    <font>
      <sz val="10"/>
      <color theme="1"/>
      <name val="Meiryo UI"/>
      <family val="3"/>
      <charset val="128"/>
    </font>
    <font>
      <b/>
      <sz val="14"/>
      <color theme="1"/>
      <name val="Meiryo UI"/>
      <family val="3"/>
      <charset val="128"/>
    </font>
    <font>
      <sz val="11"/>
      <color theme="0" tint="-0.249977111117893"/>
      <name val="游ゴシック"/>
      <family val="2"/>
      <charset val="128"/>
      <scheme val="minor"/>
    </font>
    <font>
      <sz val="11"/>
      <color theme="0" tint="-0.249977111117893"/>
      <name val="游ゴシック"/>
      <family val="3"/>
      <charset val="128"/>
      <scheme val="minor"/>
    </font>
  </fonts>
  <fills count="12">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theme="7" tint="0.79998168889431442"/>
        <bgColor indexed="64"/>
      </patternFill>
    </fill>
    <fill>
      <patternFill patternType="solid">
        <fgColor theme="7"/>
        <bgColor indexed="64"/>
      </patternFill>
    </fill>
    <fill>
      <patternFill patternType="solid">
        <fgColor rgb="FFFFFFCC"/>
        <bgColor indexed="64"/>
      </patternFill>
    </fill>
    <fill>
      <patternFill patternType="solid">
        <fgColor theme="5" tint="0.39997558519241921"/>
        <bgColor indexed="64"/>
      </patternFill>
    </fill>
    <fill>
      <patternFill patternType="solid">
        <fgColor theme="5"/>
        <bgColor indexed="64"/>
      </patternFill>
    </fill>
    <fill>
      <patternFill patternType="solid">
        <fgColor theme="9" tint="0.79998168889431442"/>
        <bgColor indexed="64"/>
      </patternFill>
    </fill>
    <fill>
      <patternFill patternType="solid">
        <fgColor rgb="FFFFFF99"/>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dotted">
        <color theme="8" tint="-0.24994659260841701"/>
      </left>
      <right/>
      <top style="dotted">
        <color theme="8" tint="-0.24994659260841701"/>
      </top>
      <bottom/>
      <diagonal/>
    </border>
    <border>
      <left/>
      <right/>
      <top style="dotted">
        <color theme="8" tint="-0.24994659260841701"/>
      </top>
      <bottom/>
      <diagonal/>
    </border>
    <border>
      <left style="dotted">
        <color theme="8" tint="-0.24994659260841701"/>
      </left>
      <right/>
      <top/>
      <bottom/>
      <diagonal/>
    </border>
    <border>
      <left style="dotted">
        <color theme="8" tint="-0.24994659260841701"/>
      </left>
      <right/>
      <top/>
      <bottom style="dotted">
        <color theme="8" tint="-0.24994659260841701"/>
      </bottom>
      <diagonal/>
    </border>
    <border>
      <left/>
      <right/>
      <top/>
      <bottom style="dotted">
        <color theme="8" tint="-0.24994659260841701"/>
      </bottom>
      <diagonal/>
    </border>
    <border>
      <left style="medium">
        <color indexed="64"/>
      </left>
      <right/>
      <top style="medium">
        <color indexed="64"/>
      </top>
      <bottom/>
      <diagonal/>
    </border>
    <border>
      <left/>
      <right/>
      <top style="medium">
        <color auto="1"/>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double">
        <color indexed="64"/>
      </bottom>
      <diagonal/>
    </border>
    <border>
      <left style="medium">
        <color indexed="64"/>
      </left>
      <right style="medium">
        <color indexed="64"/>
      </right>
      <top/>
      <bottom style="thin">
        <color indexed="64"/>
      </bottom>
      <diagonal/>
    </border>
    <border>
      <left style="medium">
        <color indexed="64"/>
      </left>
      <right style="thin">
        <color indexed="64"/>
      </right>
      <top style="double">
        <color indexed="64"/>
      </top>
      <bottom style="thin">
        <color indexed="64"/>
      </bottom>
      <diagonal/>
    </border>
    <border>
      <left style="medium">
        <color indexed="64"/>
      </left>
      <right style="thin">
        <color indexed="64"/>
      </right>
      <top style="thin">
        <color indexed="64"/>
      </top>
      <bottom/>
      <diagonal/>
    </border>
    <border>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thin">
        <color indexed="64"/>
      </right>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right style="medium">
        <color indexed="64"/>
      </right>
      <top/>
      <bottom style="double">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double">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double">
        <color indexed="64"/>
      </bottom>
      <diagonal/>
    </border>
    <border>
      <left/>
      <right/>
      <top style="thin">
        <color indexed="64"/>
      </top>
      <bottom style="thin">
        <color indexed="64"/>
      </bottom>
      <diagonal/>
    </border>
    <border>
      <left style="medium">
        <color indexed="64"/>
      </left>
      <right/>
      <top style="medium">
        <color indexed="64"/>
      </top>
      <bottom style="double">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double">
        <color indexed="64"/>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double">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medium">
        <color rgb="FFFF0000"/>
      </bottom>
      <diagonal/>
    </border>
    <border>
      <left style="thin">
        <color indexed="64"/>
      </left>
      <right style="thin">
        <color indexed="64"/>
      </right>
      <top style="thin">
        <color indexed="64"/>
      </top>
      <bottom style="medium">
        <color rgb="FFFF0000"/>
      </bottom>
      <diagonal/>
    </border>
    <border>
      <left style="thin">
        <color indexed="64"/>
      </left>
      <right style="medium">
        <color indexed="64"/>
      </right>
      <top style="thin">
        <color indexed="64"/>
      </top>
      <bottom style="medium">
        <color rgb="FFFF0000"/>
      </bottom>
      <diagonal/>
    </border>
  </borders>
  <cellStyleXfs count="4">
    <xf numFmtId="0" fontId="0" fillId="0" borderId="0">
      <alignment vertical="center"/>
    </xf>
    <xf numFmtId="0" fontId="6" fillId="0" borderId="0"/>
    <xf numFmtId="38" fontId="6" fillId="0" borderId="0" applyFont="0" applyFill="0" applyBorder="0" applyAlignment="0" applyProtection="0"/>
    <xf numFmtId="38" fontId="6" fillId="0" borderId="0" applyFont="0" applyFill="0" applyBorder="0" applyAlignment="0" applyProtection="0">
      <alignment vertical="center"/>
    </xf>
  </cellStyleXfs>
  <cellXfs count="243">
    <xf numFmtId="0" fontId="0" fillId="0" borderId="0" xfId="0">
      <alignment vertical="center"/>
    </xf>
    <xf numFmtId="0" fontId="7" fillId="0" borderId="0" xfId="1" applyFont="1" applyFill="1" applyAlignment="1" applyProtection="1">
      <alignment horizontal="center" vertical="center"/>
    </xf>
    <xf numFmtId="0" fontId="10" fillId="3" borderId="0" xfId="1" applyFont="1" applyFill="1" applyProtection="1"/>
    <xf numFmtId="0" fontId="10" fillId="0" borderId="0" xfId="1" applyFont="1" applyFill="1" applyProtection="1"/>
    <xf numFmtId="0" fontId="12" fillId="3" borderId="0" xfId="1" applyFont="1" applyFill="1" applyBorder="1" applyAlignment="1" applyProtection="1">
      <alignment horizontal="center" vertical="center"/>
    </xf>
    <xf numFmtId="0" fontId="12" fillId="0" borderId="0" xfId="1" applyFont="1" applyFill="1" applyProtection="1"/>
    <xf numFmtId="4" fontId="14" fillId="0" borderId="0" xfId="1" applyNumberFormat="1" applyFont="1" applyFill="1" applyBorder="1" applyAlignment="1" applyProtection="1">
      <alignment vertical="center"/>
    </xf>
    <xf numFmtId="0" fontId="12" fillId="0" borderId="0" xfId="1" applyFont="1" applyFill="1" applyBorder="1" applyAlignment="1" applyProtection="1">
      <alignment vertical="center" wrapText="1"/>
    </xf>
    <xf numFmtId="0" fontId="14" fillId="0" borderId="0" xfId="1" applyFont="1" applyFill="1" applyAlignment="1" applyProtection="1">
      <alignment vertical="center"/>
    </xf>
    <xf numFmtId="3" fontId="14" fillId="0" borderId="0" xfId="1" applyNumberFormat="1" applyFont="1" applyFill="1" applyAlignment="1" applyProtection="1">
      <alignment vertical="center"/>
    </xf>
    <xf numFmtId="0" fontId="14" fillId="0" borderId="0" xfId="1" applyFont="1" applyFill="1" applyAlignment="1" applyProtection="1">
      <alignment horizontal="center" vertical="center"/>
    </xf>
    <xf numFmtId="0" fontId="12" fillId="0" borderId="0" xfId="1" applyFont="1" applyBorder="1" applyProtection="1"/>
    <xf numFmtId="0" fontId="12" fillId="0" borderId="0" xfId="1" applyFont="1" applyFill="1" applyBorder="1" applyProtection="1"/>
    <xf numFmtId="0" fontId="12" fillId="0" borderId="0" xfId="1" applyFont="1" applyFill="1" applyBorder="1" applyAlignment="1" applyProtection="1">
      <alignment horizontal="center"/>
    </xf>
    <xf numFmtId="0" fontId="9" fillId="0" borderId="0" xfId="1" applyFont="1" applyFill="1" applyBorder="1" applyAlignment="1" applyProtection="1">
      <alignment horizontal="center"/>
    </xf>
    <xf numFmtId="177" fontId="12" fillId="0" borderId="0" xfId="1" applyNumberFormat="1" applyFont="1" applyFill="1" applyBorder="1" applyProtection="1"/>
    <xf numFmtId="4" fontId="12" fillId="0" borderId="0" xfId="1" applyNumberFormat="1" applyFont="1" applyFill="1" applyBorder="1" applyProtection="1"/>
    <xf numFmtId="3" fontId="15" fillId="0" borderId="0" xfId="1" applyNumberFormat="1" applyFont="1" applyFill="1" applyProtection="1"/>
    <xf numFmtId="0" fontId="15" fillId="0" borderId="0" xfId="1" applyFont="1" applyFill="1" applyAlignment="1" applyProtection="1">
      <alignment horizontal="center"/>
    </xf>
    <xf numFmtId="0" fontId="15" fillId="0" borderId="0" xfId="1" applyFont="1" applyFill="1" applyProtection="1"/>
    <xf numFmtId="0" fontId="12" fillId="3" borderId="6" xfId="1" applyFont="1" applyFill="1" applyBorder="1" applyAlignment="1" applyProtection="1">
      <alignment vertical="center"/>
    </xf>
    <xf numFmtId="0" fontId="12" fillId="0" borderId="0" xfId="1" applyFont="1" applyProtection="1"/>
    <xf numFmtId="0" fontId="16" fillId="0" borderId="0" xfId="1" applyFont="1" applyProtection="1"/>
    <xf numFmtId="178" fontId="12" fillId="0" borderId="0" xfId="1" applyNumberFormat="1" applyFont="1" applyFill="1" applyBorder="1" applyProtection="1"/>
    <xf numFmtId="10" fontId="12" fillId="0" borderId="0" xfId="1" applyNumberFormat="1" applyFont="1" applyBorder="1" applyProtection="1"/>
    <xf numFmtId="4" fontId="12" fillId="3" borderId="0" xfId="1" applyNumberFormat="1" applyFont="1" applyFill="1" applyBorder="1" applyProtection="1"/>
    <xf numFmtId="38" fontId="9" fillId="3" borderId="0" xfId="3" applyFont="1" applyFill="1" applyBorder="1" applyAlignment="1" applyProtection="1">
      <alignment horizontal="center" vertical="center"/>
    </xf>
    <xf numFmtId="0" fontId="12" fillId="3" borderId="0" xfId="1" applyFont="1" applyFill="1" applyBorder="1" applyProtection="1"/>
    <xf numFmtId="10" fontId="11" fillId="3" borderId="0" xfId="1" applyNumberFormat="1" applyFont="1" applyFill="1" applyBorder="1" applyAlignment="1" applyProtection="1">
      <alignment vertical="center" wrapText="1"/>
    </xf>
    <xf numFmtId="0" fontId="12" fillId="0" borderId="33" xfId="1" applyFont="1" applyFill="1" applyBorder="1" applyAlignment="1" applyProtection="1">
      <alignment vertical="center"/>
    </xf>
    <xf numFmtId="0" fontId="12" fillId="0" borderId="23" xfId="1" applyFont="1" applyFill="1" applyBorder="1" applyAlignment="1" applyProtection="1">
      <alignment vertical="center"/>
    </xf>
    <xf numFmtId="0" fontId="12" fillId="0" borderId="34" xfId="1" applyFont="1" applyFill="1" applyBorder="1" applyAlignment="1" applyProtection="1">
      <alignment vertical="center"/>
    </xf>
    <xf numFmtId="0" fontId="5" fillId="0" borderId="0" xfId="0" applyFont="1" applyProtection="1">
      <alignment vertical="center"/>
    </xf>
    <xf numFmtId="0" fontId="0" fillId="0" borderId="0" xfId="0" applyProtection="1">
      <alignment vertical="center"/>
    </xf>
    <xf numFmtId="0" fontId="0" fillId="0" borderId="0" xfId="0" applyFill="1" applyAlignment="1" applyProtection="1">
      <alignment vertical="center" textRotation="255"/>
    </xf>
    <xf numFmtId="0" fontId="0" fillId="0" borderId="1" xfId="0" applyFill="1" applyBorder="1" applyAlignment="1" applyProtection="1">
      <alignment vertical="center" textRotation="255"/>
    </xf>
    <xf numFmtId="0" fontId="5" fillId="0" borderId="1" xfId="0" applyFont="1" applyFill="1" applyBorder="1" applyAlignment="1" applyProtection="1">
      <alignment vertical="center" textRotation="255"/>
    </xf>
    <xf numFmtId="38" fontId="0" fillId="0" borderId="1" xfId="0" applyNumberFormat="1" applyBorder="1" applyProtection="1">
      <alignment vertical="center"/>
    </xf>
    <xf numFmtId="3" fontId="0" fillId="0" borderId="1" xfId="0" applyNumberFormat="1" applyBorder="1" applyProtection="1">
      <alignment vertical="center"/>
    </xf>
    <xf numFmtId="0" fontId="0" fillId="0" borderId="1" xfId="0" applyBorder="1" applyProtection="1">
      <alignment vertical="center"/>
    </xf>
    <xf numFmtId="176" fontId="17" fillId="2" borderId="3" xfId="3" applyNumberFormat="1" applyFont="1" applyFill="1" applyBorder="1" applyAlignment="1" applyProtection="1">
      <alignment horizontal="center" vertical="center"/>
      <protection locked="0"/>
    </xf>
    <xf numFmtId="0" fontId="4" fillId="0" borderId="1" xfId="0" applyFont="1" applyFill="1" applyBorder="1" applyAlignment="1" applyProtection="1">
      <alignment vertical="center" textRotation="255"/>
    </xf>
    <xf numFmtId="0" fontId="4" fillId="0" borderId="2" xfId="0" applyFont="1" applyFill="1" applyBorder="1" applyAlignment="1" applyProtection="1">
      <alignment vertical="center" textRotation="255"/>
    </xf>
    <xf numFmtId="0" fontId="0" fillId="0" borderId="1" xfId="0" applyFill="1" applyBorder="1" applyProtection="1">
      <alignment vertical="center"/>
    </xf>
    <xf numFmtId="0" fontId="0" fillId="4" borderId="38" xfId="0" applyFill="1" applyBorder="1" applyAlignment="1" applyProtection="1">
      <alignment vertical="center" textRotation="255"/>
    </xf>
    <xf numFmtId="0" fontId="0" fillId="4" borderId="1" xfId="0" applyFill="1" applyBorder="1" applyAlignment="1" applyProtection="1">
      <alignment vertical="center" textRotation="255"/>
    </xf>
    <xf numFmtId="0" fontId="5" fillId="4" borderId="20" xfId="0" applyFont="1" applyFill="1" applyBorder="1" applyProtection="1">
      <alignment vertical="center"/>
    </xf>
    <xf numFmtId="0" fontId="0" fillId="4" borderId="1" xfId="0" applyFill="1" applyBorder="1" applyProtection="1">
      <alignment vertical="center"/>
    </xf>
    <xf numFmtId="0" fontId="5" fillId="4" borderId="42" xfId="0" applyFont="1" applyFill="1" applyBorder="1" applyProtection="1">
      <alignment vertical="center"/>
    </xf>
    <xf numFmtId="0" fontId="19" fillId="4" borderId="43" xfId="0" applyFont="1" applyFill="1" applyBorder="1" applyAlignment="1" applyProtection="1">
      <alignment horizontal="left" vertical="center"/>
    </xf>
    <xf numFmtId="0" fontId="2" fillId="4" borderId="44" xfId="0" applyFont="1" applyFill="1" applyBorder="1" applyProtection="1">
      <alignment vertical="center"/>
    </xf>
    <xf numFmtId="0" fontId="2" fillId="4" borderId="39" xfId="0" applyFont="1" applyFill="1" applyBorder="1" applyProtection="1">
      <alignment vertical="center"/>
    </xf>
    <xf numFmtId="3" fontId="17" fillId="4" borderId="40" xfId="2" applyNumberFormat="1" applyFont="1" applyFill="1" applyBorder="1" applyAlignment="1" applyProtection="1">
      <alignment vertical="center"/>
    </xf>
    <xf numFmtId="3" fontId="17" fillId="4" borderId="41" xfId="2" applyNumberFormat="1" applyFont="1" applyFill="1" applyBorder="1" applyAlignment="1" applyProtection="1">
      <alignment vertical="center"/>
    </xf>
    <xf numFmtId="0" fontId="2" fillId="4" borderId="28" xfId="0" applyFont="1" applyFill="1" applyBorder="1" applyProtection="1">
      <alignment vertical="center"/>
    </xf>
    <xf numFmtId="3" fontId="17" fillId="4" borderId="1" xfId="2" applyNumberFormat="1" applyFont="1" applyFill="1" applyBorder="1" applyAlignment="1" applyProtection="1">
      <alignment vertical="center"/>
    </xf>
    <xf numFmtId="3" fontId="17" fillId="4" borderId="29" xfId="2" applyNumberFormat="1" applyFont="1" applyFill="1" applyBorder="1" applyAlignment="1" applyProtection="1">
      <alignment vertical="center"/>
    </xf>
    <xf numFmtId="0" fontId="5" fillId="4" borderId="28" xfId="0" applyFont="1" applyFill="1" applyBorder="1" applyProtection="1">
      <alignment vertical="center"/>
    </xf>
    <xf numFmtId="0" fontId="2" fillId="4" borderId="19" xfId="0" applyFont="1" applyFill="1" applyBorder="1" applyProtection="1">
      <alignment vertical="center"/>
    </xf>
    <xf numFmtId="3" fontId="17" fillId="4" borderId="20" xfId="2" applyNumberFormat="1" applyFont="1" applyFill="1" applyBorder="1" applyAlignment="1" applyProtection="1">
      <alignment vertical="center"/>
    </xf>
    <xf numFmtId="0" fontId="23" fillId="0" borderId="0" xfId="0" applyFont="1" applyProtection="1">
      <alignment vertical="center"/>
    </xf>
    <xf numFmtId="3" fontId="0" fillId="0" borderId="0" xfId="0" applyNumberFormat="1" applyProtection="1">
      <alignment vertical="center"/>
    </xf>
    <xf numFmtId="179" fontId="0" fillId="0" borderId="0" xfId="0" applyNumberFormat="1" applyProtection="1">
      <alignment vertical="center"/>
    </xf>
    <xf numFmtId="3" fontId="1" fillId="0" borderId="0" xfId="0" applyNumberFormat="1" applyFont="1" applyProtection="1">
      <alignment vertical="center"/>
    </xf>
    <xf numFmtId="3" fontId="0" fillId="0" borderId="1" xfId="0" applyNumberFormat="1" applyFont="1" applyBorder="1" applyProtection="1">
      <alignment vertical="center"/>
    </xf>
    <xf numFmtId="4" fontId="12" fillId="0" borderId="0" xfId="1" quotePrefix="1" applyNumberFormat="1" applyFont="1" applyFill="1" applyBorder="1" applyProtection="1"/>
    <xf numFmtId="0" fontId="12" fillId="0" borderId="0" xfId="1" applyFont="1" applyFill="1" applyBorder="1" applyAlignment="1" applyProtection="1">
      <alignment horizontal="left"/>
    </xf>
    <xf numFmtId="38" fontId="17" fillId="0" borderId="35" xfId="3" applyFont="1" applyFill="1" applyBorder="1" applyAlignment="1" applyProtection="1">
      <alignment vertical="center"/>
    </xf>
    <xf numFmtId="38" fontId="17" fillId="0" borderId="36" xfId="3" applyFont="1" applyFill="1" applyBorder="1" applyAlignment="1" applyProtection="1">
      <alignment vertical="center"/>
    </xf>
    <xf numFmtId="38" fontId="17" fillId="0" borderId="37" xfId="3" applyFont="1" applyFill="1" applyBorder="1" applyAlignment="1" applyProtection="1">
      <alignment vertical="center"/>
    </xf>
    <xf numFmtId="0" fontId="24" fillId="0" borderId="0" xfId="1" applyFont="1" applyFill="1" applyBorder="1" applyProtection="1"/>
    <xf numFmtId="0" fontId="26" fillId="6" borderId="0" xfId="0" applyFont="1" applyFill="1" applyProtection="1">
      <alignment vertical="center"/>
    </xf>
    <xf numFmtId="0" fontId="27" fillId="6" borderId="0" xfId="0" applyFont="1" applyFill="1" applyProtection="1">
      <alignment vertical="center"/>
    </xf>
    <xf numFmtId="0" fontId="8" fillId="5" borderId="1" xfId="1" applyFont="1" applyFill="1" applyBorder="1" applyAlignment="1" applyProtection="1">
      <alignment horizontal="center" vertical="center" shrinkToFit="1"/>
    </xf>
    <xf numFmtId="0" fontId="8" fillId="5" borderId="3" xfId="1" applyFont="1" applyFill="1" applyBorder="1" applyAlignment="1" applyProtection="1">
      <alignment horizontal="center" vertical="center" shrinkToFit="1"/>
    </xf>
    <xf numFmtId="0" fontId="8" fillId="5" borderId="3" xfId="1" applyFont="1" applyFill="1" applyBorder="1" applyAlignment="1" applyProtection="1">
      <alignment horizontal="center" vertical="center" wrapText="1" shrinkToFit="1"/>
    </xf>
    <xf numFmtId="0" fontId="17" fillId="5" borderId="16" xfId="1" applyFont="1" applyFill="1" applyBorder="1" applyAlignment="1" applyProtection="1">
      <alignment horizontal="center" vertical="center"/>
    </xf>
    <xf numFmtId="0" fontId="17" fillId="5" borderId="17" xfId="1" applyFont="1" applyFill="1" applyBorder="1" applyAlignment="1" applyProtection="1">
      <alignment horizontal="center" vertical="center"/>
    </xf>
    <xf numFmtId="0" fontId="17" fillId="5" borderId="19" xfId="1" applyFont="1" applyFill="1" applyBorder="1" applyAlignment="1" applyProtection="1">
      <alignment horizontal="center" vertical="center"/>
    </xf>
    <xf numFmtId="0" fontId="5" fillId="0" borderId="11" xfId="0" applyFont="1" applyFill="1" applyBorder="1" applyAlignment="1" applyProtection="1">
      <alignment horizontal="centerContinuous" vertical="center"/>
    </xf>
    <xf numFmtId="0" fontId="0" fillId="0" borderId="12" xfId="0" applyFill="1" applyBorder="1" applyAlignment="1" applyProtection="1">
      <alignment horizontal="centerContinuous" vertical="center"/>
    </xf>
    <xf numFmtId="0" fontId="0" fillId="0" borderId="13" xfId="0" applyFill="1" applyBorder="1" applyAlignment="1" applyProtection="1">
      <alignment horizontal="centerContinuous" vertical="center"/>
    </xf>
    <xf numFmtId="0" fontId="5" fillId="0" borderId="25" xfId="0" applyFont="1" applyFill="1" applyBorder="1" applyAlignment="1" applyProtection="1">
      <alignment vertical="center" textRotation="255"/>
    </xf>
    <xf numFmtId="0" fontId="5" fillId="0" borderId="26" xfId="0" applyFont="1" applyFill="1" applyBorder="1" applyAlignment="1" applyProtection="1">
      <alignment vertical="center" textRotation="255"/>
    </xf>
    <xf numFmtId="0" fontId="5" fillId="0" borderId="27" xfId="0" applyFont="1" applyFill="1" applyBorder="1" applyAlignment="1" applyProtection="1">
      <alignment vertical="center" textRotation="255"/>
    </xf>
    <xf numFmtId="0" fontId="5" fillId="0" borderId="19" xfId="0" applyFont="1" applyFill="1" applyBorder="1" applyProtection="1">
      <alignment vertical="center"/>
    </xf>
    <xf numFmtId="0" fontId="5" fillId="0" borderId="20" xfId="0" applyFont="1" applyFill="1" applyBorder="1" applyProtection="1">
      <alignment vertical="center"/>
    </xf>
    <xf numFmtId="0" fontId="5" fillId="0" borderId="21" xfId="0" applyFont="1" applyFill="1" applyBorder="1" applyProtection="1">
      <alignment vertical="center"/>
    </xf>
    <xf numFmtId="38" fontId="7" fillId="0" borderId="56" xfId="3" applyFont="1" applyFill="1" applyBorder="1" applyAlignment="1" applyProtection="1">
      <alignment vertical="center"/>
    </xf>
    <xf numFmtId="38" fontId="7" fillId="0" borderId="50" xfId="3" applyFont="1" applyFill="1" applyBorder="1" applyAlignment="1" applyProtection="1">
      <alignment vertical="center"/>
    </xf>
    <xf numFmtId="38" fontId="28" fillId="3" borderId="45" xfId="3" applyFont="1" applyFill="1" applyBorder="1" applyAlignment="1" applyProtection="1">
      <alignment vertical="center" shrinkToFit="1"/>
    </xf>
    <xf numFmtId="0" fontId="29" fillId="4" borderId="19" xfId="0" applyFont="1" applyFill="1" applyBorder="1" applyProtection="1">
      <alignment vertical="center"/>
    </xf>
    <xf numFmtId="0" fontId="29" fillId="4" borderId="20" xfId="0" applyFont="1" applyFill="1" applyBorder="1" applyProtection="1">
      <alignment vertical="center"/>
    </xf>
    <xf numFmtId="0" fontId="29" fillId="4" borderId="38" xfId="0" applyFont="1" applyFill="1" applyBorder="1" applyProtection="1">
      <alignment vertical="center"/>
    </xf>
    <xf numFmtId="0" fontId="29" fillId="4" borderId="1" xfId="0" applyFont="1" applyFill="1" applyBorder="1" applyProtection="1">
      <alignment vertical="center"/>
    </xf>
    <xf numFmtId="178" fontId="21" fillId="7" borderId="30" xfId="1" applyNumberFormat="1" applyFont="1" applyFill="1" applyBorder="1" applyAlignment="1" applyProtection="1">
      <alignment horizontal="center" vertical="center"/>
    </xf>
    <xf numFmtId="178" fontId="21" fillId="7" borderId="55" xfId="1" applyNumberFormat="1" applyFont="1" applyFill="1" applyBorder="1" applyAlignment="1" applyProtection="1">
      <alignment horizontal="center" vertical="center"/>
    </xf>
    <xf numFmtId="4" fontId="21" fillId="5" borderId="57" xfId="1" applyNumberFormat="1" applyFont="1" applyFill="1" applyBorder="1" applyProtection="1"/>
    <xf numFmtId="0" fontId="30" fillId="0" borderId="1" xfId="0" applyFont="1" applyFill="1" applyBorder="1" applyAlignment="1" applyProtection="1">
      <alignment vertical="center" textRotation="255"/>
    </xf>
    <xf numFmtId="0" fontId="31" fillId="0" borderId="0" xfId="0" applyFont="1" applyFill="1" applyAlignment="1" applyProtection="1">
      <alignment vertical="center" textRotation="255"/>
    </xf>
    <xf numFmtId="0" fontId="31" fillId="0" borderId="0" xfId="0" applyFont="1" applyProtection="1">
      <alignment vertical="center"/>
    </xf>
    <xf numFmtId="3" fontId="31" fillId="0" borderId="1" xfId="0" applyNumberFormat="1" applyFont="1" applyBorder="1" applyProtection="1">
      <alignment vertical="center"/>
    </xf>
    <xf numFmtId="0" fontId="30" fillId="0" borderId="38" xfId="0" applyFont="1" applyFill="1" applyBorder="1" applyAlignment="1" applyProtection="1">
      <alignment vertical="center" textRotation="255"/>
    </xf>
    <xf numFmtId="3" fontId="31" fillId="0" borderId="38" xfId="0" applyNumberFormat="1" applyFont="1" applyBorder="1" applyProtection="1">
      <alignment vertical="center"/>
    </xf>
    <xf numFmtId="0" fontId="32" fillId="0" borderId="1" xfId="0" applyFont="1" applyFill="1" applyBorder="1" applyAlignment="1" applyProtection="1">
      <alignment vertical="center" textRotation="255" wrapText="1"/>
    </xf>
    <xf numFmtId="3" fontId="33" fillId="0" borderId="1" xfId="0" applyNumberFormat="1" applyFont="1" applyBorder="1" applyProtection="1">
      <alignment vertical="center"/>
    </xf>
    <xf numFmtId="0" fontId="24" fillId="0" borderId="0" xfId="1" applyFont="1" applyFill="1" applyBorder="1" applyAlignment="1" applyProtection="1">
      <alignment vertical="center"/>
    </xf>
    <xf numFmtId="0" fontId="0" fillId="2" borderId="0" xfId="0" applyFill="1" applyProtection="1">
      <alignment vertical="center"/>
    </xf>
    <xf numFmtId="0" fontId="34" fillId="2" borderId="1" xfId="0" applyFont="1" applyFill="1" applyBorder="1" applyAlignment="1" applyProtection="1">
      <alignment vertical="center" textRotation="255"/>
    </xf>
    <xf numFmtId="3" fontId="34" fillId="2" borderId="1" xfId="0" applyNumberFormat="1" applyFont="1" applyFill="1" applyBorder="1" applyProtection="1">
      <alignment vertical="center"/>
    </xf>
    <xf numFmtId="0" fontId="30" fillId="2" borderId="1" xfId="0" applyFont="1" applyFill="1" applyBorder="1" applyAlignment="1" applyProtection="1">
      <alignment vertical="center" textRotation="255"/>
    </xf>
    <xf numFmtId="3" fontId="31" fillId="2" borderId="1" xfId="0" applyNumberFormat="1" applyFont="1" applyFill="1" applyBorder="1" applyProtection="1">
      <alignment vertical="center"/>
    </xf>
    <xf numFmtId="3" fontId="0" fillId="2" borderId="1" xfId="0" applyNumberFormat="1" applyFill="1" applyBorder="1" applyProtection="1">
      <alignment vertical="center"/>
    </xf>
    <xf numFmtId="0" fontId="0" fillId="2" borderId="1" xfId="0" applyFill="1" applyBorder="1" applyProtection="1">
      <alignment vertical="center"/>
    </xf>
    <xf numFmtId="38" fontId="7" fillId="9" borderId="15" xfId="3" applyFont="1" applyFill="1" applyBorder="1" applyAlignment="1" applyProtection="1">
      <alignment vertical="center"/>
    </xf>
    <xf numFmtId="0" fontId="36" fillId="8" borderId="0" xfId="1" applyFont="1" applyFill="1" applyAlignment="1" applyProtection="1">
      <alignment vertical="center"/>
    </xf>
    <xf numFmtId="0" fontId="37" fillId="8" borderId="2" xfId="1" applyFont="1" applyFill="1" applyBorder="1" applyAlignment="1" applyProtection="1">
      <alignment horizontal="centerContinuous"/>
    </xf>
    <xf numFmtId="0" fontId="36" fillId="8" borderId="38" xfId="1" applyFont="1" applyFill="1" applyBorder="1" applyAlignment="1" applyProtection="1">
      <alignment horizontal="centerContinuous"/>
    </xf>
    <xf numFmtId="3" fontId="17" fillId="4" borderId="21" xfId="2" applyNumberFormat="1" applyFont="1" applyFill="1" applyBorder="1" applyAlignment="1" applyProtection="1">
      <alignment vertical="center"/>
    </xf>
    <xf numFmtId="0" fontId="8" fillId="5" borderId="57" xfId="1" applyFont="1" applyFill="1" applyBorder="1" applyAlignment="1" applyProtection="1">
      <alignment horizontal="center" vertical="center" shrinkToFit="1"/>
    </xf>
    <xf numFmtId="38" fontId="17" fillId="2" borderId="57" xfId="3" applyFont="1" applyFill="1" applyBorder="1" applyAlignment="1" applyProtection="1">
      <alignment horizontal="center" vertical="center"/>
      <protection locked="0"/>
    </xf>
    <xf numFmtId="0" fontId="11" fillId="0" borderId="3" xfId="1" applyFont="1" applyBorder="1" applyAlignment="1" applyProtection="1">
      <alignment vertical="top"/>
    </xf>
    <xf numFmtId="0" fontId="12" fillId="5" borderId="3" xfId="1" applyFont="1" applyFill="1" applyBorder="1" applyAlignment="1" applyProtection="1">
      <alignment horizontal="center" vertical="center" wrapText="1"/>
    </xf>
    <xf numFmtId="0" fontId="39" fillId="0" borderId="0" xfId="1" applyFont="1" applyBorder="1" applyAlignment="1" applyProtection="1">
      <alignment vertical="top"/>
    </xf>
    <xf numFmtId="3" fontId="17" fillId="10" borderId="24" xfId="1" applyNumberFormat="1" applyFont="1" applyFill="1" applyBorder="1" applyAlignment="1" applyProtection="1">
      <alignment horizontal="center" vertical="center"/>
    </xf>
    <xf numFmtId="0" fontId="21" fillId="10" borderId="49" xfId="1" applyFont="1" applyFill="1" applyBorder="1" applyAlignment="1" applyProtection="1">
      <alignment horizontal="center" vertical="center"/>
    </xf>
    <xf numFmtId="177" fontId="21" fillId="10" borderId="30" xfId="1" applyNumberFormat="1" applyFont="1" applyFill="1" applyBorder="1" applyAlignment="1" applyProtection="1">
      <alignment horizontal="center" vertical="center"/>
    </xf>
    <xf numFmtId="178" fontId="21" fillId="10" borderId="53" xfId="1" applyNumberFormat="1" applyFont="1" applyFill="1" applyBorder="1" applyAlignment="1" applyProtection="1">
      <alignment horizontal="center" vertical="center"/>
    </xf>
    <xf numFmtId="0" fontId="21" fillId="10" borderId="51" xfId="1" applyFont="1" applyFill="1" applyBorder="1" applyAlignment="1" applyProtection="1">
      <alignment horizontal="center" vertical="center"/>
    </xf>
    <xf numFmtId="0" fontId="21" fillId="10" borderId="55" xfId="1" applyFont="1" applyFill="1" applyBorder="1" applyAlignment="1" applyProtection="1">
      <alignment horizontal="center" vertical="center"/>
    </xf>
    <xf numFmtId="178" fontId="21" fillId="10" borderId="54" xfId="1" applyNumberFormat="1" applyFont="1" applyFill="1" applyBorder="1" applyAlignment="1" applyProtection="1">
      <alignment horizontal="center" vertical="center"/>
    </xf>
    <xf numFmtId="177" fontId="21" fillId="5" borderId="45" xfId="1" applyNumberFormat="1" applyFont="1" applyFill="1" applyBorder="1" applyAlignment="1" applyProtection="1">
      <alignment horizontal="center" vertical="center" shrinkToFit="1"/>
    </xf>
    <xf numFmtId="177" fontId="21" fillId="5" borderId="47" xfId="1" applyNumberFormat="1" applyFont="1" applyFill="1" applyBorder="1" applyAlignment="1" applyProtection="1">
      <alignment horizontal="center" vertical="center" wrapText="1" shrinkToFit="1"/>
    </xf>
    <xf numFmtId="0" fontId="40" fillId="4" borderId="0" xfId="0" applyFont="1" applyFill="1" applyProtection="1">
      <alignment vertical="center"/>
    </xf>
    <xf numFmtId="0" fontId="34" fillId="0" borderId="0" xfId="0" applyFont="1" applyProtection="1">
      <alignment vertical="center"/>
    </xf>
    <xf numFmtId="3" fontId="34" fillId="0" borderId="0" xfId="0" applyNumberFormat="1" applyFont="1" applyProtection="1">
      <alignment vertical="center"/>
    </xf>
    <xf numFmtId="0" fontId="34" fillId="0" borderId="0" xfId="0" applyFont="1" applyFill="1" applyProtection="1">
      <alignment vertical="center"/>
    </xf>
    <xf numFmtId="38" fontId="41" fillId="0" borderId="48" xfId="3" applyFont="1" applyFill="1" applyBorder="1" applyAlignment="1" applyProtection="1">
      <alignment vertical="center"/>
    </xf>
    <xf numFmtId="38" fontId="41" fillId="0" borderId="52" xfId="3" applyFont="1" applyFill="1" applyBorder="1" applyAlignment="1" applyProtection="1">
      <alignment vertical="center"/>
    </xf>
    <xf numFmtId="38" fontId="41" fillId="0" borderId="58" xfId="3" applyFont="1" applyFill="1" applyBorder="1" applyAlignment="1" applyProtection="1">
      <alignment vertical="center"/>
    </xf>
    <xf numFmtId="38" fontId="41" fillId="0" borderId="15" xfId="3" applyFont="1" applyFill="1" applyBorder="1" applyAlignment="1" applyProtection="1">
      <alignment vertical="center"/>
    </xf>
    <xf numFmtId="38" fontId="41" fillId="0" borderId="30" xfId="3" applyFont="1" applyFill="1" applyBorder="1" applyAlignment="1" applyProtection="1">
      <alignment vertical="center"/>
    </xf>
    <xf numFmtId="38" fontId="41" fillId="0" borderId="49" xfId="3" applyFont="1" applyFill="1" applyBorder="1" applyAlignment="1" applyProtection="1">
      <alignment vertical="center"/>
    </xf>
    <xf numFmtId="38" fontId="41" fillId="0" borderId="56" xfId="3" applyFont="1" applyFill="1" applyBorder="1" applyAlignment="1" applyProtection="1">
      <alignment vertical="center"/>
    </xf>
    <xf numFmtId="38" fontId="41" fillId="0" borderId="3" xfId="3" applyFont="1" applyFill="1" applyBorder="1" applyAlignment="1" applyProtection="1">
      <alignment vertical="center"/>
    </xf>
    <xf numFmtId="38" fontId="41" fillId="0" borderId="35" xfId="3" applyFont="1" applyFill="1" applyBorder="1" applyAlignment="1" applyProtection="1">
      <alignment vertical="center"/>
    </xf>
    <xf numFmtId="38" fontId="41" fillId="0" borderId="36" xfId="3" applyFont="1" applyFill="1" applyBorder="1" applyAlignment="1" applyProtection="1">
      <alignment vertical="center"/>
    </xf>
    <xf numFmtId="38" fontId="41" fillId="0" borderId="60" xfId="3" applyFont="1" applyFill="1" applyBorder="1" applyAlignment="1" applyProtection="1">
      <alignment vertical="center"/>
    </xf>
    <xf numFmtId="38" fontId="28" fillId="0" borderId="22" xfId="3" applyFont="1" applyFill="1" applyBorder="1" applyAlignment="1" applyProtection="1">
      <alignment vertical="center"/>
    </xf>
    <xf numFmtId="38" fontId="28" fillId="0" borderId="30" xfId="3" applyFont="1" applyFill="1" applyBorder="1" applyAlignment="1" applyProtection="1">
      <alignment vertical="center"/>
    </xf>
    <xf numFmtId="38" fontId="28" fillId="0" borderId="37" xfId="3" applyFont="1" applyFill="1" applyBorder="1" applyAlignment="1" applyProtection="1">
      <alignment vertical="center"/>
    </xf>
    <xf numFmtId="0" fontId="35" fillId="4" borderId="0" xfId="1" applyFont="1" applyFill="1" applyBorder="1" applyAlignment="1" applyProtection="1">
      <alignment vertical="center"/>
    </xf>
    <xf numFmtId="0" fontId="24" fillId="4" borderId="0" xfId="1" applyFont="1" applyFill="1" applyBorder="1" applyAlignment="1" applyProtection="1">
      <alignment vertical="center"/>
    </xf>
    <xf numFmtId="38" fontId="41" fillId="4" borderId="52" xfId="3" applyFont="1" applyFill="1" applyBorder="1" applyAlignment="1" applyProtection="1">
      <alignment vertical="center"/>
    </xf>
    <xf numFmtId="38" fontId="41" fillId="4" borderId="56" xfId="3" applyFont="1" applyFill="1" applyBorder="1" applyAlignment="1" applyProtection="1">
      <alignment vertical="center"/>
    </xf>
    <xf numFmtId="38" fontId="41" fillId="4" borderId="36" xfId="3" applyFont="1" applyFill="1" applyBorder="1" applyAlignment="1" applyProtection="1">
      <alignment vertical="center"/>
    </xf>
    <xf numFmtId="0" fontId="17" fillId="4" borderId="17" xfId="1" applyFont="1" applyFill="1" applyBorder="1" applyAlignment="1" applyProtection="1">
      <alignment horizontal="center" vertical="center"/>
    </xf>
    <xf numFmtId="38" fontId="17" fillId="4" borderId="36" xfId="3" applyFont="1" applyFill="1" applyBorder="1" applyAlignment="1" applyProtection="1">
      <alignment vertical="center"/>
    </xf>
    <xf numFmtId="0" fontId="42" fillId="8" borderId="0" xfId="1" applyFont="1" applyFill="1" applyBorder="1" applyAlignment="1" applyProtection="1">
      <alignment vertical="center"/>
    </xf>
    <xf numFmtId="0" fontId="43" fillId="8" borderId="0" xfId="1" applyFont="1" applyFill="1" applyBorder="1" applyAlignment="1" applyProtection="1">
      <alignment vertical="center"/>
    </xf>
    <xf numFmtId="4" fontId="19" fillId="8" borderId="0" xfId="1" applyNumberFormat="1" applyFont="1" applyFill="1" applyBorder="1" applyAlignment="1" applyProtection="1">
      <alignment horizontal="right"/>
    </xf>
    <xf numFmtId="0" fontId="44" fillId="8" borderId="2" xfId="1" applyFont="1" applyFill="1" applyBorder="1" applyAlignment="1" applyProtection="1">
      <alignment horizontal="centerContinuous"/>
    </xf>
    <xf numFmtId="0" fontId="44" fillId="8" borderId="46" xfId="1" applyFont="1" applyFill="1" applyBorder="1" applyAlignment="1" applyProtection="1">
      <alignment horizontal="centerContinuous"/>
    </xf>
    <xf numFmtId="177" fontId="43" fillId="8" borderId="46" xfId="1" applyNumberFormat="1" applyFont="1" applyFill="1" applyBorder="1" applyAlignment="1" applyProtection="1">
      <alignment horizontal="centerContinuous"/>
    </xf>
    <xf numFmtId="178" fontId="43" fillId="8" borderId="38" xfId="1" applyNumberFormat="1" applyFont="1" applyFill="1" applyBorder="1" applyAlignment="1" applyProtection="1">
      <alignment horizontal="centerContinuous"/>
    </xf>
    <xf numFmtId="0" fontId="0" fillId="4" borderId="0" xfId="0" applyFill="1" applyProtection="1">
      <alignment vertical="center"/>
    </xf>
    <xf numFmtId="38" fontId="28" fillId="4" borderId="30" xfId="3" applyFont="1" applyFill="1" applyBorder="1" applyAlignment="1" applyProtection="1">
      <alignment vertical="center"/>
    </xf>
    <xf numFmtId="0" fontId="0" fillId="4" borderId="61" xfId="0" applyFill="1" applyBorder="1" applyAlignment="1" applyProtection="1">
      <alignment horizontal="centerContinuous" vertical="center"/>
    </xf>
    <xf numFmtId="0" fontId="5" fillId="4" borderId="62" xfId="0" applyFont="1" applyFill="1" applyBorder="1" applyAlignment="1" applyProtection="1">
      <alignment vertical="center" textRotation="255"/>
    </xf>
    <xf numFmtId="0" fontId="5" fillId="4" borderId="33" xfId="0" applyFont="1" applyFill="1" applyBorder="1" applyAlignment="1" applyProtection="1">
      <alignment horizontal="centerContinuous" vertical="center"/>
    </xf>
    <xf numFmtId="0" fontId="0" fillId="4" borderId="63" xfId="0" applyFill="1" applyBorder="1" applyAlignment="1" applyProtection="1">
      <alignment horizontal="centerContinuous" vertical="center"/>
    </xf>
    <xf numFmtId="0" fontId="5" fillId="4" borderId="39" xfId="0" applyFont="1" applyFill="1" applyBorder="1" applyAlignment="1" applyProtection="1">
      <alignment vertical="center" textRotation="255"/>
    </xf>
    <xf numFmtId="0" fontId="5" fillId="4" borderId="40" xfId="0" applyFont="1" applyFill="1" applyBorder="1" applyAlignment="1" applyProtection="1">
      <alignment vertical="center" textRotation="255"/>
    </xf>
    <xf numFmtId="0" fontId="5" fillId="4" borderId="41" xfId="0" applyFont="1" applyFill="1" applyBorder="1" applyAlignment="1" applyProtection="1">
      <alignment vertical="center" textRotation="255"/>
    </xf>
    <xf numFmtId="0" fontId="5" fillId="4" borderId="21" xfId="0" applyFont="1" applyFill="1" applyBorder="1" applyProtection="1">
      <alignment vertical="center"/>
    </xf>
    <xf numFmtId="0" fontId="10" fillId="0" borderId="10" xfId="1" applyFont="1" applyFill="1" applyBorder="1" applyAlignment="1" applyProtection="1">
      <alignment horizontal="center" vertical="center"/>
    </xf>
    <xf numFmtId="0" fontId="10" fillId="0" borderId="22" xfId="1" applyFont="1" applyFill="1" applyBorder="1" applyAlignment="1" applyProtection="1">
      <alignment horizontal="center" vertical="center"/>
    </xf>
    <xf numFmtId="0" fontId="10" fillId="0" borderId="14" xfId="1" applyFont="1" applyFill="1" applyBorder="1" applyAlignment="1" applyProtection="1">
      <alignment horizontal="center" vertical="center"/>
    </xf>
    <xf numFmtId="0" fontId="17" fillId="0" borderId="0" xfId="1" applyFont="1" applyFill="1" applyBorder="1" applyAlignment="1" applyProtection="1">
      <alignment vertical="center"/>
    </xf>
    <xf numFmtId="0" fontId="17" fillId="3" borderId="18" xfId="1" applyFont="1" applyFill="1" applyBorder="1" applyAlignment="1" applyProtection="1">
      <alignment vertical="center"/>
    </xf>
    <xf numFmtId="0" fontId="17" fillId="3" borderId="0" xfId="1" applyFont="1" applyFill="1" applyBorder="1" applyAlignment="1" applyProtection="1">
      <alignment vertical="center"/>
    </xf>
    <xf numFmtId="0" fontId="34" fillId="4" borderId="62" xfId="0" applyFont="1" applyFill="1" applyBorder="1" applyAlignment="1" applyProtection="1">
      <alignment vertical="center" textRotation="255"/>
    </xf>
    <xf numFmtId="0" fontId="34" fillId="4" borderId="50" xfId="0" applyFont="1" applyFill="1" applyBorder="1" applyProtection="1">
      <alignment vertical="center"/>
    </xf>
    <xf numFmtId="0" fontId="2" fillId="4" borderId="25" xfId="0" applyFont="1" applyFill="1" applyBorder="1" applyProtection="1">
      <alignment vertical="center"/>
    </xf>
    <xf numFmtId="3" fontId="17" fillId="4" borderId="26" xfId="2" applyNumberFormat="1" applyFont="1" applyFill="1" applyBorder="1" applyAlignment="1" applyProtection="1">
      <alignment vertical="center"/>
    </xf>
    <xf numFmtId="3" fontId="17" fillId="4" borderId="27" xfId="2" applyNumberFormat="1" applyFont="1" applyFill="1" applyBorder="1" applyAlignment="1" applyProtection="1">
      <alignment vertical="center"/>
    </xf>
    <xf numFmtId="0" fontId="2" fillId="4" borderId="64" xfId="0" applyFont="1" applyFill="1" applyBorder="1" applyProtection="1">
      <alignment vertical="center"/>
    </xf>
    <xf numFmtId="3" fontId="17" fillId="4" borderId="65" xfId="2" applyNumberFormat="1" applyFont="1" applyFill="1" applyBorder="1" applyAlignment="1" applyProtection="1">
      <alignment vertical="center"/>
    </xf>
    <xf numFmtId="3" fontId="17" fillId="4" borderId="66" xfId="2" applyNumberFormat="1" applyFont="1" applyFill="1" applyBorder="1" applyAlignment="1" applyProtection="1">
      <alignment vertical="center"/>
    </xf>
    <xf numFmtId="3" fontId="0" fillId="0" borderId="26" xfId="0" applyNumberFormat="1" applyFont="1" applyBorder="1" applyProtection="1">
      <alignment vertical="center"/>
    </xf>
    <xf numFmtId="3" fontId="0" fillId="0" borderId="26" xfId="0" applyNumberFormat="1" applyBorder="1" applyProtection="1">
      <alignment vertical="center"/>
    </xf>
    <xf numFmtId="3" fontId="34" fillId="2" borderId="26" xfId="0" applyNumberFormat="1" applyFont="1" applyFill="1" applyBorder="1" applyProtection="1">
      <alignment vertical="center"/>
    </xf>
    <xf numFmtId="3" fontId="0" fillId="0" borderId="64" xfId="0" applyNumberFormat="1" applyFont="1" applyBorder="1" applyProtection="1">
      <alignment vertical="center"/>
    </xf>
    <xf numFmtId="3" fontId="0" fillId="0" borderId="65" xfId="0" applyNumberFormat="1" applyFont="1" applyBorder="1" applyProtection="1">
      <alignment vertical="center"/>
    </xf>
    <xf numFmtId="3" fontId="0" fillId="0" borderId="65" xfId="0" applyNumberFormat="1" applyBorder="1" applyProtection="1">
      <alignment vertical="center"/>
    </xf>
    <xf numFmtId="3" fontId="34" fillId="2" borderId="65" xfId="0" applyNumberFormat="1" applyFont="1" applyFill="1" applyBorder="1" applyProtection="1">
      <alignment vertical="center"/>
    </xf>
    <xf numFmtId="3" fontId="0" fillId="0" borderId="66" xfId="0" applyNumberFormat="1" applyBorder="1" applyProtection="1">
      <alignment vertical="center"/>
    </xf>
    <xf numFmtId="3" fontId="0" fillId="0" borderId="39" xfId="0" applyNumberFormat="1" applyFont="1" applyBorder="1" applyProtection="1">
      <alignment vertical="center"/>
    </xf>
    <xf numFmtId="3" fontId="0" fillId="0" borderId="40" xfId="0" applyNumberFormat="1" applyFont="1" applyBorder="1" applyProtection="1">
      <alignment vertical="center"/>
    </xf>
    <xf numFmtId="3" fontId="0" fillId="0" borderId="40" xfId="0" applyNumberFormat="1" applyBorder="1" applyProtection="1">
      <alignment vertical="center"/>
    </xf>
    <xf numFmtId="3" fontId="34" fillId="2" borderId="40" xfId="0" applyNumberFormat="1" applyFont="1" applyFill="1" applyBorder="1" applyProtection="1">
      <alignment vertical="center"/>
    </xf>
    <xf numFmtId="3" fontId="0" fillId="0" borderId="41" xfId="0" applyNumberFormat="1" applyBorder="1" applyProtection="1">
      <alignment vertical="center"/>
    </xf>
    <xf numFmtId="3" fontId="0" fillId="0" borderId="28" xfId="0" applyNumberFormat="1" applyFont="1" applyBorder="1" applyProtection="1">
      <alignment vertical="center"/>
    </xf>
    <xf numFmtId="3" fontId="0" fillId="0" borderId="29" xfId="0" applyNumberFormat="1" applyBorder="1" applyProtection="1">
      <alignment vertical="center"/>
    </xf>
    <xf numFmtId="3" fontId="0" fillId="0" borderId="25" xfId="0" applyNumberFormat="1" applyFont="1" applyBorder="1" applyProtection="1">
      <alignment vertical="center"/>
    </xf>
    <xf numFmtId="3" fontId="0" fillId="0" borderId="27" xfId="0" applyNumberFormat="1" applyBorder="1" applyProtection="1">
      <alignment vertical="center"/>
    </xf>
    <xf numFmtId="3" fontId="0" fillId="0" borderId="19" xfId="0" applyNumberFormat="1" applyFont="1" applyBorder="1" applyProtection="1">
      <alignment vertical="center"/>
    </xf>
    <xf numFmtId="3" fontId="0" fillId="0" borderId="20" xfId="0" applyNumberFormat="1" applyFont="1" applyBorder="1" applyProtection="1">
      <alignment vertical="center"/>
    </xf>
    <xf numFmtId="3" fontId="0" fillId="0" borderId="20" xfId="0" applyNumberFormat="1" applyBorder="1" applyProtection="1">
      <alignment vertical="center"/>
    </xf>
    <xf numFmtId="3" fontId="34" fillId="2" borderId="20" xfId="0" applyNumberFormat="1" applyFont="1" applyFill="1" applyBorder="1" applyProtection="1">
      <alignment vertical="center"/>
    </xf>
    <xf numFmtId="3" fontId="0" fillId="0" borderId="21" xfId="0" applyNumberFormat="1" applyBorder="1" applyProtection="1">
      <alignment vertical="center"/>
    </xf>
    <xf numFmtId="2" fontId="29" fillId="4" borderId="50" xfId="0" applyNumberFormat="1" applyFont="1" applyFill="1" applyBorder="1" applyProtection="1">
      <alignment vertical="center"/>
    </xf>
    <xf numFmtId="0" fontId="5" fillId="0" borderId="1" xfId="0" applyFont="1" applyBorder="1" applyProtection="1">
      <alignment vertical="center"/>
    </xf>
    <xf numFmtId="3" fontId="5" fillId="0" borderId="1" xfId="0" applyNumberFormat="1" applyFont="1" applyBorder="1" applyProtection="1">
      <alignment vertical="center"/>
    </xf>
    <xf numFmtId="3" fontId="5" fillId="2" borderId="1" xfId="0" applyNumberFormat="1" applyFont="1" applyFill="1" applyBorder="1" applyProtection="1">
      <alignment vertical="center"/>
    </xf>
    <xf numFmtId="0" fontId="45" fillId="0" borderId="0" xfId="0" applyFont="1" applyProtection="1">
      <alignment vertical="center"/>
    </xf>
    <xf numFmtId="3" fontId="46" fillId="0" borderId="0" xfId="0" applyNumberFormat="1" applyFont="1" applyProtection="1">
      <alignment vertical="center"/>
    </xf>
    <xf numFmtId="3" fontId="46" fillId="0" borderId="0" xfId="0" applyNumberFormat="1" applyFont="1" applyFill="1" applyProtection="1">
      <alignment vertical="center"/>
    </xf>
    <xf numFmtId="3" fontId="46" fillId="11" borderId="0" xfId="0" applyNumberFormat="1" applyFont="1" applyFill="1" applyProtection="1">
      <alignment vertical="center"/>
    </xf>
    <xf numFmtId="10" fontId="18" fillId="7" borderId="1" xfId="1" applyNumberFormat="1" applyFont="1" applyFill="1" applyBorder="1" applyAlignment="1" applyProtection="1">
      <alignment vertical="center"/>
    </xf>
    <xf numFmtId="0" fontId="18" fillId="7" borderId="4" xfId="1" applyFont="1" applyFill="1" applyBorder="1" applyAlignment="1" applyProtection="1">
      <alignment horizontal="left" vertical="center" wrapText="1"/>
    </xf>
    <xf numFmtId="0" fontId="18" fillId="7" borderId="5" xfId="1" applyFont="1" applyFill="1" applyBorder="1" applyAlignment="1" applyProtection="1">
      <alignment horizontal="left" vertical="center" wrapText="1"/>
    </xf>
    <xf numFmtId="0" fontId="18" fillId="7" borderId="6" xfId="1" applyFont="1" applyFill="1" applyBorder="1" applyAlignment="1" applyProtection="1">
      <alignment horizontal="left" vertical="center" wrapText="1"/>
    </xf>
    <xf numFmtId="0" fontId="18" fillId="7" borderId="0" xfId="1" applyFont="1" applyFill="1" applyBorder="1" applyAlignment="1" applyProtection="1">
      <alignment horizontal="left" vertical="center" wrapText="1"/>
    </xf>
    <xf numFmtId="0" fontId="18" fillId="7" borderId="7" xfId="1" applyFont="1" applyFill="1" applyBorder="1" applyAlignment="1" applyProtection="1">
      <alignment horizontal="left" vertical="center" wrapText="1"/>
    </xf>
    <xf numFmtId="0" fontId="18" fillId="7" borderId="8" xfId="1" applyFont="1" applyFill="1" applyBorder="1" applyAlignment="1" applyProtection="1">
      <alignment horizontal="left" vertical="center" wrapText="1"/>
    </xf>
    <xf numFmtId="0" fontId="7" fillId="5" borderId="9" xfId="1" applyFont="1" applyFill="1" applyBorder="1" applyAlignment="1" applyProtection="1">
      <alignment horizontal="center" vertical="center"/>
    </xf>
    <xf numFmtId="0" fontId="7" fillId="5" borderId="10" xfId="1" applyFont="1" applyFill="1" applyBorder="1" applyAlignment="1" applyProtection="1">
      <alignment horizontal="center" vertical="center"/>
    </xf>
    <xf numFmtId="0" fontId="7" fillId="5" borderId="24" xfId="1" applyFont="1" applyFill="1" applyBorder="1" applyAlignment="1" applyProtection="1">
      <alignment horizontal="center" vertical="center"/>
    </xf>
    <xf numFmtId="0" fontId="17" fillId="5" borderId="24" xfId="1" applyFont="1" applyFill="1" applyBorder="1" applyAlignment="1" applyProtection="1">
      <alignment horizontal="center" vertical="center"/>
    </xf>
    <xf numFmtId="0" fontId="17" fillId="5" borderId="31" xfId="1" applyFont="1" applyFill="1" applyBorder="1" applyAlignment="1" applyProtection="1">
      <alignment horizontal="center" vertical="center"/>
    </xf>
    <xf numFmtId="0" fontId="17" fillId="5" borderId="32" xfId="1" applyFont="1" applyFill="1" applyBorder="1" applyAlignment="1" applyProtection="1">
      <alignment horizontal="center" vertical="center"/>
    </xf>
    <xf numFmtId="0" fontId="25" fillId="7" borderId="58" xfId="1" applyFont="1" applyFill="1" applyBorder="1" applyAlignment="1" applyProtection="1">
      <alignment horizontal="left" vertical="top" wrapText="1"/>
    </xf>
    <xf numFmtId="0" fontId="8" fillId="7" borderId="59" xfId="1" applyFont="1" applyFill="1" applyBorder="1" applyAlignment="1" applyProtection="1">
      <alignment horizontal="left" vertical="top" wrapText="1"/>
    </xf>
    <xf numFmtId="0" fontId="8" fillId="7" borderId="60" xfId="1" applyFont="1" applyFill="1" applyBorder="1" applyAlignment="1" applyProtection="1">
      <alignment horizontal="left" vertical="top" wrapText="1"/>
    </xf>
    <xf numFmtId="0" fontId="12" fillId="3" borderId="0" xfId="1" applyFont="1" applyFill="1" applyBorder="1" applyAlignment="1" applyProtection="1">
      <alignment horizontal="left" vertical="top" wrapText="1"/>
    </xf>
    <xf numFmtId="0" fontId="38" fillId="0" borderId="0" xfId="1" applyFont="1" applyFill="1" applyAlignment="1" applyProtection="1">
      <alignment horizontal="center" vertical="center"/>
    </xf>
    <xf numFmtId="38" fontId="17" fillId="10" borderId="58" xfId="3" applyFont="1" applyFill="1" applyBorder="1" applyAlignment="1" applyProtection="1">
      <alignment horizontal="center" vertical="center"/>
    </xf>
    <xf numFmtId="38" fontId="17" fillId="10" borderId="59" xfId="3" applyFont="1" applyFill="1" applyBorder="1" applyAlignment="1" applyProtection="1">
      <alignment horizontal="center" vertical="center"/>
    </xf>
    <xf numFmtId="38" fontId="17" fillId="10" borderId="60" xfId="3" applyFont="1" applyFill="1" applyBorder="1" applyAlignment="1" applyProtection="1">
      <alignment horizontal="center" vertical="center"/>
    </xf>
    <xf numFmtId="0" fontId="16" fillId="3" borderId="0" xfId="1" applyFont="1" applyFill="1" applyBorder="1" applyAlignment="1" applyProtection="1">
      <alignment horizontal="left" vertical="top" wrapText="1"/>
    </xf>
    <xf numFmtId="3" fontId="31" fillId="0" borderId="38" xfId="0" applyNumberFormat="1" applyFont="1" applyBorder="1" applyProtection="1">
      <alignment vertical="center"/>
    </xf>
    <xf numFmtId="0" fontId="31" fillId="0" borderId="1" xfId="0" applyFont="1" applyBorder="1" applyProtection="1">
      <alignment vertical="center"/>
    </xf>
  </cellXfs>
  <cellStyles count="4">
    <cellStyle name="桁区切り 2" xfId="2" xr:uid="{00000000-0005-0000-0000-000000000000}"/>
    <cellStyle name="桁区切り 3" xfId="3" xr:uid="{00000000-0005-0000-0000-000001000000}"/>
    <cellStyle name="標準" xfId="0" builtinId="0"/>
    <cellStyle name="標準_23.4.1保険料率表（任継用）" xfId="1" xr:uid="{00000000-0005-0000-0000-000003000000}"/>
  </cellStyles>
  <dxfs count="25">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11"/>
        </patternFill>
      </fill>
    </dxf>
    <dxf>
      <fill>
        <patternFill>
          <bgColor indexed="11"/>
        </patternFill>
      </fill>
    </dxf>
    <dxf>
      <fill>
        <patternFill>
          <bgColor indexed="41"/>
        </patternFill>
      </fill>
    </dxf>
    <dxf>
      <fill>
        <patternFill>
          <bgColor indexed="13"/>
        </patternFill>
      </fill>
    </dxf>
    <dxf>
      <fill>
        <patternFill>
          <bgColor indexed="41"/>
        </patternFill>
      </fill>
    </dxf>
    <dxf>
      <fill>
        <patternFill>
          <bgColor indexed="41"/>
        </patternFill>
      </fill>
    </dxf>
    <dxf>
      <fill>
        <patternFill>
          <bgColor indexed="41"/>
        </patternFill>
      </fill>
    </dxf>
    <dxf>
      <fill>
        <patternFill>
          <bgColor indexed="11"/>
        </patternFill>
      </fill>
    </dxf>
    <dxf>
      <fill>
        <patternFill>
          <bgColor indexed="4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s>
  <tableStyles count="0" defaultTableStyle="TableStyleMedium2" defaultPivotStyle="PivotStyleLight16"/>
  <colors>
    <mruColors>
      <color rgb="FFFFFFCC"/>
      <color rgb="FFFFFF99"/>
      <color rgb="FFCCFF99"/>
      <color rgb="FFFF66FF"/>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1399189</xdr:colOff>
      <xdr:row>28</xdr:row>
      <xdr:rowOff>212912</xdr:rowOff>
    </xdr:from>
    <xdr:to>
      <xdr:col>7</xdr:col>
      <xdr:colOff>1</xdr:colOff>
      <xdr:row>34</xdr:row>
      <xdr:rowOff>0</xdr:rowOff>
    </xdr:to>
    <xdr:grpSp>
      <xdr:nvGrpSpPr>
        <xdr:cNvPr id="8" name="グループ化 7">
          <a:extLst>
            <a:ext uri="{FF2B5EF4-FFF2-40B4-BE49-F238E27FC236}">
              <a16:creationId xmlns:a16="http://schemas.microsoft.com/office/drawing/2014/main" id="{00000000-0008-0000-0000-000008000000}"/>
            </a:ext>
          </a:extLst>
        </xdr:cNvPr>
        <xdr:cNvGrpSpPr/>
      </xdr:nvGrpSpPr>
      <xdr:grpSpPr>
        <a:xfrm>
          <a:off x="6195307" y="8012206"/>
          <a:ext cx="1245400" cy="1255059"/>
          <a:chOff x="6207672" y="7583291"/>
          <a:chExt cx="1241536" cy="956364"/>
        </a:xfrm>
      </xdr:grpSpPr>
      <xdr:cxnSp macro="">
        <xdr:nvCxnSpPr>
          <xdr:cNvPr id="3" name="直線コネクタ 2">
            <a:extLst>
              <a:ext uri="{FF2B5EF4-FFF2-40B4-BE49-F238E27FC236}">
                <a16:creationId xmlns:a16="http://schemas.microsoft.com/office/drawing/2014/main" id="{00000000-0008-0000-0000-000003000000}"/>
              </a:ext>
            </a:extLst>
          </xdr:cNvPr>
          <xdr:cNvCxnSpPr/>
        </xdr:nvCxnSpPr>
        <xdr:spPr>
          <a:xfrm flipH="1">
            <a:off x="6207672" y="7583291"/>
            <a:ext cx="1241536" cy="95636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6214241" y="7593724"/>
            <a:ext cx="1234966" cy="94593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Ph-fls12\&#20581;&#24247;&#20445;&#38522;&#32068;&#21512;\05_22_&#36969;&#29992;\4_&#20219;&#24847;&#32153;&#32154;\&#26032;&#12471;&#12473;&#12486;&#12512;\&#20219;&#32153;&#20445;&#38522;&#26009;&#31639;&#23450;&#12484;&#12540;&#12523;&#65288;&#65330;7&#24180;&#24230;%20&#65289;.xlsx" TargetMode="External"/><Relationship Id="rId1" Type="http://schemas.openxmlformats.org/officeDocument/2006/relationships/externalLinkPath" Target="file:///\\Ph-fls12\&#20581;&#24247;&#20445;&#38522;&#32068;&#21512;\05_22_&#36969;&#29992;\4_&#20219;&#24847;&#32153;&#32154;\&#26032;&#12471;&#12473;&#12486;&#12512;\&#20219;&#32153;&#20445;&#38522;&#26009;&#31639;&#23450;&#12484;&#12540;&#12523;&#65288;&#65330;7&#24180;&#24230;%20&#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H-FLS12\&#20581;&#24247;&#20445;&#38522;&#32068;&#21512;\05_22_&#36969;&#29992;\4_&#20219;&#24847;&#32153;&#32154;\&#26032;&#12471;&#12473;&#12486;&#12512;\&#20219;&#32153;&#20445;&#38522;&#26009;&#31639;&#23450;&#12484;&#12540;&#12523;&#65288;&#20196;&#21644;4&#24180;&#24230;&#20445;&#38522;&#26009;&#29575;&#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算定ツール"/>
      <sheetName val="マスタ"/>
    </sheetNames>
    <sheetDataSet>
      <sheetData sheetId="0"/>
      <sheetData sheetId="1">
        <row r="9">
          <cell r="C9">
            <v>68000</v>
          </cell>
          <cell r="E9">
            <v>3618</v>
          </cell>
        </row>
        <row r="10">
          <cell r="C10">
            <v>78000</v>
          </cell>
          <cell r="E10">
            <v>4150</v>
          </cell>
        </row>
        <row r="11">
          <cell r="C11">
            <v>88000</v>
          </cell>
          <cell r="E11">
            <v>4682</v>
          </cell>
        </row>
        <row r="12">
          <cell r="C12">
            <v>98000</v>
          </cell>
          <cell r="E12">
            <v>5214</v>
          </cell>
        </row>
        <row r="13">
          <cell r="C13">
            <v>104000</v>
          </cell>
          <cell r="E13">
            <v>5533</v>
          </cell>
        </row>
        <row r="14">
          <cell r="C14">
            <v>110000</v>
          </cell>
          <cell r="E14">
            <v>5852</v>
          </cell>
        </row>
        <row r="15">
          <cell r="C15">
            <v>118000</v>
          </cell>
          <cell r="E15">
            <v>6278</v>
          </cell>
        </row>
        <row r="16">
          <cell r="C16">
            <v>126000</v>
          </cell>
          <cell r="E16">
            <v>6704</v>
          </cell>
        </row>
        <row r="17">
          <cell r="C17">
            <v>134000</v>
          </cell>
          <cell r="E17">
            <v>7129</v>
          </cell>
        </row>
        <row r="18">
          <cell r="C18">
            <v>142000</v>
          </cell>
          <cell r="E18">
            <v>7555</v>
          </cell>
        </row>
        <row r="19">
          <cell r="C19">
            <v>150000</v>
          </cell>
          <cell r="E19">
            <v>7980</v>
          </cell>
        </row>
        <row r="20">
          <cell r="C20">
            <v>160000</v>
          </cell>
          <cell r="E20">
            <v>8512</v>
          </cell>
        </row>
        <row r="21">
          <cell r="C21">
            <v>170000</v>
          </cell>
          <cell r="E21">
            <v>9044</v>
          </cell>
        </row>
        <row r="22">
          <cell r="C22">
            <v>180000</v>
          </cell>
          <cell r="E22">
            <v>9576</v>
          </cell>
        </row>
        <row r="23">
          <cell r="C23">
            <v>190000</v>
          </cell>
          <cell r="E23">
            <v>10108</v>
          </cell>
        </row>
        <row r="24">
          <cell r="C24">
            <v>200000</v>
          </cell>
          <cell r="E24">
            <v>10640</v>
          </cell>
        </row>
        <row r="25">
          <cell r="C25">
            <v>220000</v>
          </cell>
          <cell r="E25">
            <v>11704</v>
          </cell>
        </row>
        <row r="26">
          <cell r="C26">
            <v>240000</v>
          </cell>
          <cell r="E26">
            <v>12768</v>
          </cell>
        </row>
        <row r="27">
          <cell r="C27">
            <v>260000</v>
          </cell>
          <cell r="E27">
            <v>13832</v>
          </cell>
        </row>
        <row r="28">
          <cell r="C28">
            <v>280000</v>
          </cell>
          <cell r="E28">
            <v>14896</v>
          </cell>
        </row>
        <row r="29">
          <cell r="C29">
            <v>300000</v>
          </cell>
          <cell r="E29">
            <v>15960</v>
          </cell>
        </row>
        <row r="30">
          <cell r="C30">
            <v>320000</v>
          </cell>
          <cell r="E30">
            <v>17024</v>
          </cell>
        </row>
        <row r="31">
          <cell r="C31">
            <v>340000</v>
          </cell>
          <cell r="E31">
            <v>18088</v>
          </cell>
        </row>
        <row r="32">
          <cell r="C32">
            <v>360000</v>
          </cell>
          <cell r="E32">
            <v>19152</v>
          </cell>
        </row>
        <row r="33">
          <cell r="C33">
            <v>380000</v>
          </cell>
          <cell r="E33">
            <v>20216</v>
          </cell>
        </row>
        <row r="34">
          <cell r="C34">
            <v>410000</v>
          </cell>
          <cell r="E34">
            <v>21812</v>
          </cell>
        </row>
        <row r="35">
          <cell r="C35">
            <v>440000</v>
          </cell>
          <cell r="E35">
            <v>23408</v>
          </cell>
        </row>
        <row r="36">
          <cell r="C36">
            <v>440000</v>
          </cell>
          <cell r="E36">
            <v>23408</v>
          </cell>
        </row>
        <row r="37">
          <cell r="C37">
            <v>440000</v>
          </cell>
          <cell r="E37">
            <v>23408</v>
          </cell>
        </row>
        <row r="38">
          <cell r="C38">
            <v>440000</v>
          </cell>
          <cell r="E38">
            <v>23408</v>
          </cell>
        </row>
        <row r="39">
          <cell r="C39">
            <v>440000</v>
          </cell>
          <cell r="E39">
            <v>23408</v>
          </cell>
        </row>
        <row r="40">
          <cell r="C40">
            <v>440000</v>
          </cell>
          <cell r="E40">
            <v>23408</v>
          </cell>
        </row>
        <row r="41">
          <cell r="C41">
            <v>440000</v>
          </cell>
          <cell r="E41">
            <v>23408</v>
          </cell>
        </row>
        <row r="42">
          <cell r="C42">
            <v>440000</v>
          </cell>
          <cell r="E42">
            <v>23408</v>
          </cell>
        </row>
        <row r="43">
          <cell r="C43">
            <v>440000</v>
          </cell>
          <cell r="E43">
            <v>23408</v>
          </cell>
        </row>
        <row r="44">
          <cell r="C44">
            <v>440000</v>
          </cell>
          <cell r="E44">
            <v>23408</v>
          </cell>
        </row>
        <row r="45">
          <cell r="C45">
            <v>440000</v>
          </cell>
          <cell r="E45">
            <v>23408</v>
          </cell>
        </row>
        <row r="46">
          <cell r="C46">
            <v>440000</v>
          </cell>
          <cell r="E46">
            <v>23408</v>
          </cell>
        </row>
        <row r="47">
          <cell r="C47">
            <v>440000</v>
          </cell>
          <cell r="E47">
            <v>23408</v>
          </cell>
        </row>
        <row r="48">
          <cell r="C48">
            <v>440000</v>
          </cell>
          <cell r="E48">
            <v>23408</v>
          </cell>
        </row>
        <row r="49">
          <cell r="C49">
            <v>440000</v>
          </cell>
          <cell r="E49">
            <v>23408</v>
          </cell>
        </row>
        <row r="50">
          <cell r="C50">
            <v>440000</v>
          </cell>
          <cell r="E50">
            <v>23408</v>
          </cell>
        </row>
        <row r="51">
          <cell r="C51">
            <v>440000</v>
          </cell>
          <cell r="E51">
            <v>23408</v>
          </cell>
        </row>
        <row r="52">
          <cell r="C52">
            <v>440000</v>
          </cell>
          <cell r="E52">
            <v>23408</v>
          </cell>
        </row>
        <row r="53">
          <cell r="C53">
            <v>440000</v>
          </cell>
          <cell r="E53">
            <v>23408</v>
          </cell>
        </row>
        <row r="54">
          <cell r="C54">
            <v>440000</v>
          </cell>
          <cell r="E54">
            <v>23408</v>
          </cell>
        </row>
        <row r="55">
          <cell r="C55">
            <v>440000</v>
          </cell>
          <cell r="E55">
            <v>23408</v>
          </cell>
        </row>
        <row r="56">
          <cell r="C56">
            <v>440000</v>
          </cell>
          <cell r="E56">
            <v>23408</v>
          </cell>
        </row>
        <row r="57">
          <cell r="C57">
            <v>440000</v>
          </cell>
          <cell r="E57">
            <v>23408</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算定ツール"/>
      <sheetName val="【削除禁】マスタ"/>
    </sheetNames>
    <sheetDataSet>
      <sheetData sheetId="0" refreshError="1"/>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AE44"/>
  <sheetViews>
    <sheetView showGridLines="0" tabSelected="1" zoomScale="85" zoomScaleNormal="85" zoomScaleSheetLayoutView="85" workbookViewId="0">
      <pane ySplit="1" topLeftCell="A2" activePane="bottomLeft" state="frozen"/>
      <selection pane="bottomLeft" activeCell="G15" sqref="G15"/>
    </sheetView>
  </sheetViews>
  <sheetFormatPr defaultColWidth="9" defaultRowHeight="14.25"/>
  <cols>
    <col min="1" max="1" width="2.125" style="5" customWidth="1"/>
    <col min="2" max="2" width="26.125" style="21" customWidth="1"/>
    <col min="3" max="3" width="14.875" style="21" customWidth="1"/>
    <col min="4" max="4" width="1" style="21" customWidth="1"/>
    <col min="5" max="5" width="18.875" style="21" customWidth="1"/>
    <col min="6" max="6" width="18.375" style="21" customWidth="1"/>
    <col min="7" max="7" width="16.25" style="21" customWidth="1"/>
    <col min="8" max="8" width="12.625" style="21" bestFit="1" customWidth="1"/>
    <col min="9" max="9" width="10.75" style="21" hidden="1" customWidth="1"/>
    <col min="10" max="10" width="10.375" style="5" customWidth="1"/>
    <col min="11" max="11" width="13.875" style="5" customWidth="1"/>
    <col min="12" max="12" width="14.75" style="5" customWidth="1"/>
    <col min="13" max="13" width="9.25" style="5" bestFit="1" customWidth="1"/>
    <col min="14" max="14" width="8.125" style="19" bestFit="1" customWidth="1"/>
    <col min="15" max="15" width="7.625" style="19" bestFit="1" customWidth="1"/>
    <col min="16" max="16" width="12" style="19" bestFit="1" customWidth="1"/>
    <col min="17" max="21" width="9.25" style="5" bestFit="1" customWidth="1"/>
    <col min="22" max="22" width="9" style="5"/>
    <col min="23" max="23" width="9.125" style="5" bestFit="1" customWidth="1"/>
    <col min="24" max="16384" width="9" style="5"/>
  </cols>
  <sheetData>
    <row r="1" spans="1:31" s="8" customFormat="1" ht="27" customHeight="1">
      <c r="A1" s="115"/>
      <c r="B1" s="158" t="s">
        <v>95</v>
      </c>
      <c r="C1" s="159"/>
      <c r="D1" s="159"/>
      <c r="E1" s="159"/>
      <c r="F1" s="159"/>
      <c r="G1" s="160" t="s">
        <v>70</v>
      </c>
      <c r="J1" s="6"/>
      <c r="K1" s="7"/>
      <c r="L1" s="7"/>
      <c r="N1" s="9"/>
      <c r="O1" s="10"/>
    </row>
    <row r="2" spans="1:31" ht="9.75" customHeight="1">
      <c r="B2" s="11"/>
      <c r="C2" s="11"/>
      <c r="D2" s="11"/>
      <c r="E2" s="11"/>
      <c r="F2" s="11"/>
      <c r="G2" s="11"/>
      <c r="H2" s="11"/>
      <c r="I2" s="16"/>
      <c r="J2" s="16"/>
      <c r="K2" s="7"/>
      <c r="L2" s="7"/>
      <c r="N2" s="17"/>
      <c r="O2" s="18"/>
    </row>
    <row r="3" spans="1:31" ht="21" customHeight="1">
      <c r="B3" s="220" t="s">
        <v>62</v>
      </c>
      <c r="C3" s="221"/>
      <c r="D3" s="221"/>
      <c r="E3" s="221"/>
      <c r="F3" s="221"/>
      <c r="G3" s="221"/>
      <c r="H3" s="20"/>
      <c r="I3" s="16"/>
      <c r="J3" s="16"/>
      <c r="K3" s="7"/>
      <c r="L3" s="7"/>
      <c r="N3" s="17"/>
      <c r="O3" s="18"/>
    </row>
    <row r="4" spans="1:31" ht="21" customHeight="1">
      <c r="B4" s="222"/>
      <c r="C4" s="223"/>
      <c r="D4" s="223"/>
      <c r="E4" s="223"/>
      <c r="F4" s="223"/>
      <c r="G4" s="223"/>
      <c r="H4" s="20"/>
      <c r="I4" s="16"/>
      <c r="J4" s="16"/>
      <c r="K4" s="7"/>
      <c r="L4" s="7"/>
      <c r="N4" s="17"/>
      <c r="O4" s="18"/>
    </row>
    <row r="5" spans="1:31" ht="21" customHeight="1">
      <c r="B5" s="224"/>
      <c r="C5" s="225"/>
      <c r="D5" s="225"/>
      <c r="E5" s="225"/>
      <c r="F5" s="225"/>
      <c r="G5" s="225"/>
      <c r="H5" s="20"/>
      <c r="I5" s="16"/>
      <c r="J5" s="16"/>
      <c r="K5" s="7"/>
      <c r="L5" s="7"/>
      <c r="N5" s="17"/>
      <c r="O5" s="18"/>
    </row>
    <row r="6" spans="1:31" ht="5.45" customHeight="1">
      <c r="B6" s="22"/>
      <c r="C6" s="11"/>
      <c r="D6" s="11"/>
      <c r="E6" s="11"/>
      <c r="F6" s="11"/>
      <c r="G6" s="11"/>
      <c r="H6" s="11"/>
      <c r="I6" s="16"/>
      <c r="J6" s="16"/>
      <c r="K6" s="7"/>
      <c r="L6" s="7"/>
      <c r="N6" s="17"/>
      <c r="O6" s="18"/>
    </row>
    <row r="7" spans="1:31" ht="15.75">
      <c r="B7" s="116" t="s">
        <v>65</v>
      </c>
      <c r="C7" s="117"/>
      <c r="D7" s="11"/>
      <c r="E7" s="11"/>
      <c r="F7" s="11"/>
      <c r="G7" s="11"/>
      <c r="H7" s="11"/>
      <c r="I7" s="16"/>
      <c r="J7" s="16"/>
      <c r="K7" s="7"/>
      <c r="L7" s="7"/>
      <c r="N7" s="17"/>
      <c r="O7" s="18"/>
    </row>
    <row r="8" spans="1:31" ht="25.5" customHeight="1">
      <c r="B8" s="73" t="s">
        <v>34</v>
      </c>
      <c r="C8" s="219">
        <f>マスタ!AA5/1000</f>
        <v>9.2700000000000005E-2</v>
      </c>
      <c r="F8" s="106"/>
      <c r="G8" s="106"/>
      <c r="H8" s="106"/>
      <c r="I8" s="106"/>
      <c r="J8" s="16"/>
      <c r="K8" s="7"/>
      <c r="L8" s="7"/>
      <c r="N8" s="17"/>
      <c r="O8" s="18"/>
    </row>
    <row r="9" spans="1:31" ht="25.5" customHeight="1">
      <c r="B9" s="73" t="s">
        <v>36</v>
      </c>
      <c r="C9" s="219">
        <f>マスタ!AB5/1000</f>
        <v>1.54E-2</v>
      </c>
      <c r="D9" s="11"/>
      <c r="E9" s="106"/>
      <c r="F9" s="106"/>
      <c r="G9" s="106"/>
      <c r="H9" s="106"/>
      <c r="I9" s="106"/>
      <c r="J9" s="16"/>
      <c r="K9" s="7"/>
      <c r="L9" s="7"/>
      <c r="N9" s="17"/>
      <c r="O9" s="18"/>
    </row>
    <row r="10" spans="1:31" ht="25.5" customHeight="1">
      <c r="B10" s="73" t="s">
        <v>79</v>
      </c>
      <c r="C10" s="219">
        <f>マスタ!AC5/1000</f>
        <v>2.3E-3</v>
      </c>
      <c r="D10" s="151" t="s">
        <v>82</v>
      </c>
      <c r="E10" s="152"/>
      <c r="F10" s="152"/>
      <c r="G10" s="106"/>
      <c r="H10" s="106"/>
      <c r="I10" s="106"/>
      <c r="J10" s="16"/>
      <c r="K10" s="7"/>
      <c r="L10" s="7"/>
      <c r="N10" s="17"/>
      <c r="O10" s="18"/>
    </row>
    <row r="11" spans="1:31" ht="25.5" customHeight="1" thickBot="1">
      <c r="B11" s="123" t="s">
        <v>74</v>
      </c>
      <c r="C11" s="24"/>
      <c r="D11" s="11"/>
      <c r="E11" s="11"/>
      <c r="F11" s="11"/>
      <c r="G11" s="11"/>
      <c r="H11" s="11"/>
      <c r="I11" s="16"/>
      <c r="J11" s="16"/>
      <c r="K11" s="7"/>
      <c r="L11" s="7"/>
      <c r="N11" s="17"/>
      <c r="O11" s="18"/>
    </row>
    <row r="12" spans="1:31" s="19" customFormat="1" ht="30" customHeight="1" thickBot="1">
      <c r="A12" s="1" t="s">
        <v>28</v>
      </c>
      <c r="B12" s="119" t="s">
        <v>29</v>
      </c>
      <c r="C12" s="120">
        <v>470000</v>
      </c>
      <c r="D12" s="121"/>
      <c r="E12" s="122" t="s">
        <v>71</v>
      </c>
      <c r="F12" s="124">
        <v>470000</v>
      </c>
      <c r="H12" s="11"/>
      <c r="I12" s="25"/>
      <c r="J12" s="16"/>
      <c r="K12" s="7"/>
      <c r="L12" s="7"/>
      <c r="M12" s="5"/>
      <c r="N12" s="17"/>
      <c r="O12" s="18"/>
      <c r="Q12" s="5"/>
      <c r="R12" s="5"/>
      <c r="S12" s="5"/>
      <c r="T12" s="5"/>
      <c r="U12" s="5"/>
      <c r="V12" s="5"/>
      <c r="W12" s="5"/>
      <c r="X12" s="5"/>
      <c r="Y12" s="5"/>
      <c r="Z12" s="5"/>
      <c r="AA12" s="5"/>
      <c r="AB12" s="5"/>
      <c r="AC12" s="5"/>
      <c r="AD12" s="5"/>
      <c r="AE12" s="5"/>
    </row>
    <row r="13" spans="1:31" s="19" customFormat="1" ht="35.25" customHeight="1" thickBot="1">
      <c r="A13" s="2"/>
      <c r="B13" s="232" t="s">
        <v>72</v>
      </c>
      <c r="C13" s="233"/>
      <c r="D13" s="233"/>
      <c r="E13" s="233"/>
      <c r="F13" s="234"/>
      <c r="G13" s="27"/>
      <c r="H13" s="27"/>
      <c r="I13" s="16"/>
      <c r="J13" s="16"/>
      <c r="K13" s="7"/>
      <c r="L13" s="7"/>
      <c r="M13" s="5"/>
      <c r="N13" s="17"/>
      <c r="O13" s="18"/>
      <c r="Q13" s="5"/>
      <c r="R13" s="5"/>
      <c r="S13" s="5"/>
      <c r="T13" s="5"/>
      <c r="U13" s="5"/>
      <c r="V13" s="5"/>
      <c r="W13" s="5"/>
      <c r="X13" s="5"/>
      <c r="Y13" s="5"/>
      <c r="Z13" s="5"/>
      <c r="AA13" s="5"/>
      <c r="AB13" s="5"/>
      <c r="AC13" s="5"/>
      <c r="AD13" s="5"/>
      <c r="AE13" s="5"/>
    </row>
    <row r="14" spans="1:31" s="19" customFormat="1" ht="21.75" thickBot="1">
      <c r="A14" s="3"/>
      <c r="B14" s="236" t="s">
        <v>73</v>
      </c>
      <c r="C14" s="236"/>
      <c r="D14" s="236"/>
      <c r="E14" s="236"/>
      <c r="F14" s="236"/>
      <c r="G14" s="28"/>
      <c r="H14" s="28"/>
      <c r="I14" s="16"/>
      <c r="J14" s="16"/>
      <c r="K14" s="7"/>
      <c r="L14" s="7"/>
      <c r="M14" s="5"/>
      <c r="N14" s="17"/>
      <c r="O14" s="18"/>
      <c r="Q14" s="5"/>
      <c r="R14" s="5"/>
      <c r="S14" s="5"/>
      <c r="T14" s="5"/>
      <c r="U14" s="5"/>
      <c r="V14" s="5"/>
      <c r="W14" s="5"/>
      <c r="X14" s="5"/>
      <c r="Y14" s="5"/>
      <c r="Z14" s="5"/>
      <c r="AA14" s="5"/>
      <c r="AB14" s="5"/>
      <c r="AC14" s="5"/>
      <c r="AD14" s="5"/>
      <c r="AE14" s="5"/>
    </row>
    <row r="15" spans="1:31" s="19" customFormat="1" ht="38.25" customHeight="1" thickBot="1">
      <c r="A15" s="3"/>
      <c r="B15" s="75" t="s">
        <v>61</v>
      </c>
      <c r="C15" s="237">
        <f>VLOOKUP(退職時の標準報酬月額,マスタ!B8:C100,2,FALSE)</f>
        <v>470000</v>
      </c>
      <c r="D15" s="238" t="e">
        <f>VLOOKUP(退職時の標準報酬月額,[1]マスタ!C9:D101,2,FALSE)</f>
        <v>#N/A</v>
      </c>
      <c r="E15" s="239" t="e">
        <f>VLOOKUP(退職時の標準報酬月額,[1]マスタ!D9:E101,2,FALSE)</f>
        <v>#N/A</v>
      </c>
      <c r="F15" s="70"/>
      <c r="G15" s="70"/>
      <c r="H15" s="70"/>
      <c r="I15" s="70"/>
      <c r="J15" s="16"/>
      <c r="K15" s="7"/>
      <c r="L15" s="7"/>
      <c r="M15" s="5"/>
      <c r="N15" s="17"/>
      <c r="O15" s="18"/>
      <c r="Q15" s="5"/>
      <c r="R15" s="5"/>
      <c r="S15" s="5"/>
      <c r="T15" s="5"/>
      <c r="U15" s="5"/>
      <c r="V15" s="5"/>
      <c r="W15" s="5"/>
      <c r="X15" s="5"/>
      <c r="Y15" s="5"/>
      <c r="Z15" s="5"/>
      <c r="AA15" s="5"/>
      <c r="AB15" s="5"/>
      <c r="AC15" s="5"/>
      <c r="AD15" s="5"/>
      <c r="AE15" s="5"/>
    </row>
    <row r="16" spans="1:31" s="19" customFormat="1" ht="8.25" customHeight="1" thickBot="1">
      <c r="A16" s="3"/>
      <c r="B16" s="4"/>
      <c r="C16" s="26"/>
      <c r="D16" s="12"/>
      <c r="E16" s="12"/>
      <c r="F16" s="12"/>
      <c r="G16" s="12"/>
      <c r="H16" s="12"/>
      <c r="I16" s="13"/>
      <c r="J16" s="16"/>
      <c r="K16" s="7"/>
      <c r="L16" s="7"/>
      <c r="M16" s="5"/>
      <c r="N16" s="17"/>
      <c r="O16" s="18"/>
      <c r="Q16" s="5"/>
      <c r="R16" s="5"/>
      <c r="S16" s="5"/>
      <c r="T16" s="5"/>
      <c r="U16" s="5"/>
      <c r="V16" s="5"/>
      <c r="W16" s="5"/>
      <c r="X16" s="5"/>
      <c r="Y16" s="5"/>
      <c r="Z16" s="5"/>
      <c r="AA16" s="5"/>
      <c r="AB16" s="5"/>
      <c r="AC16" s="5"/>
      <c r="AD16" s="5"/>
      <c r="AE16" s="5"/>
    </row>
    <row r="17" spans="1:31" s="19" customFormat="1" ht="30.75" customHeight="1" thickBot="1">
      <c r="A17" s="1" t="s">
        <v>28</v>
      </c>
      <c r="B17" s="74" t="s">
        <v>30</v>
      </c>
      <c r="C17" s="40">
        <v>4</v>
      </c>
      <c r="D17" s="12"/>
      <c r="E17" s="12" t="s">
        <v>78</v>
      </c>
      <c r="F17" s="12"/>
      <c r="G17" s="12"/>
      <c r="H17" s="12"/>
      <c r="I17" s="16"/>
      <c r="J17" s="16"/>
      <c r="K17" s="7"/>
      <c r="L17" s="7"/>
      <c r="M17" s="5"/>
      <c r="N17" s="17"/>
      <c r="O17" s="18"/>
      <c r="Q17" s="5"/>
      <c r="R17" s="5"/>
      <c r="S17" s="5"/>
      <c r="T17" s="5"/>
      <c r="U17" s="5"/>
      <c r="V17" s="5"/>
      <c r="W17" s="5"/>
      <c r="X17" s="5"/>
      <c r="Y17" s="5"/>
      <c r="Z17" s="5"/>
      <c r="AA17" s="5"/>
      <c r="AB17" s="5"/>
      <c r="AC17" s="5"/>
      <c r="AD17" s="5"/>
      <c r="AE17" s="5"/>
    </row>
    <row r="18" spans="1:31" s="19" customFormat="1" ht="8.25" customHeight="1" thickBot="1">
      <c r="A18" s="3"/>
      <c r="B18" s="4"/>
      <c r="C18" s="26"/>
      <c r="D18" s="12"/>
      <c r="E18" s="12"/>
      <c r="F18" s="12"/>
      <c r="G18" s="12"/>
      <c r="I18" s="26"/>
      <c r="J18" s="12"/>
      <c r="K18" s="12"/>
      <c r="L18" s="12"/>
      <c r="M18" s="12"/>
      <c r="N18" s="17"/>
      <c r="O18" s="18"/>
      <c r="Q18" s="5"/>
      <c r="R18" s="5"/>
      <c r="S18" s="5"/>
      <c r="T18" s="5"/>
      <c r="U18" s="5"/>
      <c r="V18" s="5"/>
      <c r="W18" s="5"/>
      <c r="X18" s="5"/>
      <c r="Y18" s="5"/>
      <c r="Z18" s="5"/>
      <c r="AA18" s="5"/>
      <c r="AB18" s="5"/>
      <c r="AC18" s="5"/>
      <c r="AD18" s="5"/>
      <c r="AE18" s="5"/>
    </row>
    <row r="19" spans="1:31" s="19" customFormat="1" ht="41.25" customHeight="1" thickBot="1">
      <c r="A19" s="1" t="s">
        <v>28</v>
      </c>
      <c r="B19" s="74" t="s">
        <v>31</v>
      </c>
      <c r="C19" s="40">
        <v>1</v>
      </c>
      <c r="D19" s="12"/>
      <c r="E19" s="240" t="s">
        <v>77</v>
      </c>
      <c r="F19" s="240"/>
      <c r="G19" s="240"/>
      <c r="H19" s="235"/>
      <c r="I19" s="235"/>
      <c r="J19" s="235"/>
      <c r="K19" s="235"/>
      <c r="L19" s="235"/>
      <c r="M19" s="235"/>
      <c r="N19" s="17"/>
      <c r="O19" s="18"/>
      <c r="Q19" s="5"/>
      <c r="R19" s="5"/>
      <c r="S19" s="5"/>
      <c r="T19" s="5"/>
      <c r="U19" s="5"/>
      <c r="V19" s="5"/>
      <c r="W19" s="5"/>
      <c r="X19" s="5"/>
      <c r="Y19" s="5"/>
      <c r="Z19" s="5"/>
      <c r="AA19" s="5"/>
      <c r="AB19" s="5"/>
      <c r="AC19" s="5"/>
      <c r="AD19" s="5"/>
      <c r="AE19" s="5"/>
    </row>
    <row r="20" spans="1:31" s="19" customFormat="1" ht="12" customHeight="1">
      <c r="A20" s="5"/>
      <c r="H20" s="12"/>
      <c r="I20" s="16"/>
      <c r="J20" s="16"/>
      <c r="K20" s="7"/>
      <c r="L20" s="7"/>
      <c r="M20" s="5"/>
      <c r="N20" s="17"/>
      <c r="O20" s="18"/>
      <c r="Q20" s="5"/>
      <c r="R20" s="5"/>
      <c r="S20" s="5"/>
      <c r="T20" s="5"/>
      <c r="U20" s="5"/>
      <c r="V20" s="5"/>
      <c r="W20" s="5"/>
      <c r="X20" s="5"/>
      <c r="Y20" s="5"/>
      <c r="Z20" s="5"/>
      <c r="AA20" s="5"/>
      <c r="AB20" s="5"/>
      <c r="AC20" s="5"/>
      <c r="AD20" s="5"/>
      <c r="AE20" s="5"/>
    </row>
    <row r="21" spans="1:31" s="19" customFormat="1" ht="19.5">
      <c r="A21" s="5"/>
      <c r="B21" s="161" t="s">
        <v>51</v>
      </c>
      <c r="C21" s="162"/>
      <c r="D21" s="162"/>
      <c r="E21" s="162"/>
      <c r="F21" s="163"/>
      <c r="G21" s="164"/>
      <c r="H21" s="12"/>
      <c r="I21" s="16"/>
      <c r="J21" s="16"/>
      <c r="K21" s="7"/>
      <c r="L21" s="7"/>
      <c r="M21" s="5"/>
      <c r="N21" s="17"/>
      <c r="O21" s="18"/>
      <c r="Q21" s="5"/>
      <c r="R21" s="5"/>
      <c r="S21" s="5"/>
      <c r="T21" s="5"/>
      <c r="U21" s="5"/>
      <c r="V21" s="5"/>
      <c r="W21" s="5"/>
      <c r="X21" s="5"/>
      <c r="Y21" s="5"/>
      <c r="Z21" s="5"/>
      <c r="AA21" s="5"/>
      <c r="AB21" s="5"/>
      <c r="AC21" s="5"/>
      <c r="AD21" s="5"/>
      <c r="AE21" s="5"/>
    </row>
    <row r="22" spans="1:31" s="19" customFormat="1" ht="6.75" customHeight="1" thickBot="1">
      <c r="A22" s="5"/>
      <c r="B22" s="21"/>
      <c r="C22" s="21"/>
      <c r="D22" s="21"/>
      <c r="E22" s="14"/>
      <c r="F22" s="15"/>
      <c r="G22" s="23"/>
      <c r="H22" s="12"/>
      <c r="I22" s="16"/>
      <c r="J22" s="16"/>
      <c r="K22" s="7"/>
      <c r="L22" s="7"/>
      <c r="M22" s="5"/>
      <c r="N22" s="17"/>
      <c r="O22" s="18"/>
      <c r="Q22" s="5"/>
      <c r="R22" s="5"/>
      <c r="S22" s="5"/>
      <c r="T22" s="5"/>
      <c r="U22" s="5"/>
      <c r="V22" s="5"/>
      <c r="W22" s="5"/>
      <c r="X22" s="5"/>
      <c r="Y22" s="5"/>
      <c r="Z22" s="5"/>
      <c r="AA22" s="5"/>
      <c r="AB22" s="5"/>
      <c r="AC22" s="5"/>
      <c r="AD22" s="5"/>
      <c r="AE22" s="5"/>
    </row>
    <row r="23" spans="1:31" s="19" customFormat="1" ht="22.5" customHeight="1">
      <c r="A23" s="5"/>
      <c r="B23" s="29"/>
      <c r="C23" s="229" t="s">
        <v>35</v>
      </c>
      <c r="D23" s="175"/>
      <c r="E23" s="226" t="s">
        <v>50</v>
      </c>
      <c r="F23" s="227"/>
      <c r="G23" s="228"/>
      <c r="H23" s="12"/>
      <c r="I23" s="97" t="s">
        <v>67</v>
      </c>
      <c r="J23" s="16"/>
      <c r="K23" s="7"/>
      <c r="L23" s="7"/>
      <c r="M23" s="5"/>
      <c r="N23" s="17"/>
      <c r="O23" s="18"/>
      <c r="Q23" s="5"/>
      <c r="R23" s="5"/>
      <c r="S23" s="5"/>
      <c r="T23" s="5"/>
      <c r="U23" s="5"/>
      <c r="V23" s="5"/>
      <c r="W23" s="5"/>
      <c r="X23" s="5"/>
      <c r="Y23" s="5"/>
      <c r="Z23" s="5"/>
      <c r="AA23" s="5"/>
      <c r="AB23" s="5"/>
      <c r="AC23" s="5"/>
      <c r="AD23" s="5"/>
      <c r="AE23" s="5"/>
    </row>
    <row r="24" spans="1:31" s="19" customFormat="1" ht="22.5" customHeight="1">
      <c r="A24" s="5"/>
      <c r="B24" s="30"/>
      <c r="C24" s="230"/>
      <c r="D24" s="176"/>
      <c r="E24" s="125" t="s">
        <v>37</v>
      </c>
      <c r="F24" s="126" t="s">
        <v>38</v>
      </c>
      <c r="G24" s="127" t="s">
        <v>39</v>
      </c>
      <c r="H24" s="12"/>
      <c r="I24" s="95" t="s">
        <v>39</v>
      </c>
      <c r="J24" s="16"/>
      <c r="K24" s="7"/>
      <c r="L24" s="7"/>
      <c r="M24" s="5"/>
      <c r="N24" s="17"/>
      <c r="O24" s="18"/>
      <c r="Q24" s="5"/>
      <c r="R24" s="5"/>
      <c r="S24" s="5"/>
      <c r="T24" s="5"/>
      <c r="U24" s="5"/>
      <c r="V24" s="5"/>
      <c r="W24" s="5"/>
      <c r="X24" s="5"/>
      <c r="Y24" s="5"/>
      <c r="Z24" s="5"/>
      <c r="AA24" s="5"/>
      <c r="AB24" s="5"/>
      <c r="AC24" s="5"/>
      <c r="AD24" s="5"/>
      <c r="AE24" s="5"/>
    </row>
    <row r="25" spans="1:31" s="19" customFormat="1" ht="22.5" customHeight="1" thickBot="1">
      <c r="A25" s="5"/>
      <c r="B25" s="31"/>
      <c r="C25" s="231"/>
      <c r="D25" s="177"/>
      <c r="E25" s="128" t="str">
        <f>取得月&amp;"月・"&amp;VLOOKUP(取得月,マスタ!AQ20:AZ31,10,FALSE)&amp;"月分合計"</f>
        <v>4月・5月分合計</v>
      </c>
      <c r="F25" s="129" t="str">
        <f>取得月&amp;"月～"&amp;VLOOKUP(取得月,マスタ!AQ34:AZ45,9,FALSE)&amp;"月"</f>
        <v>4月～9月</v>
      </c>
      <c r="G25" s="130" t="str">
        <f>取得月&amp;"月～"&amp;VLOOKUP(取得月,マスタ!AQ20:AZ31,9,FALSE)&amp;"月"</f>
        <v>4月～3月</v>
      </c>
      <c r="H25" s="12"/>
      <c r="I25" s="96" t="s">
        <v>66</v>
      </c>
      <c r="J25" s="16"/>
      <c r="K25" s="7"/>
      <c r="L25" s="7"/>
      <c r="M25" s="5"/>
      <c r="N25" s="17"/>
      <c r="O25" s="18"/>
      <c r="Q25" s="5"/>
      <c r="R25" s="5"/>
      <c r="S25" s="5"/>
      <c r="T25" s="5"/>
      <c r="U25" s="5"/>
      <c r="V25" s="5"/>
      <c r="W25" s="5"/>
      <c r="X25" s="5"/>
      <c r="Y25" s="5"/>
      <c r="Z25" s="5"/>
      <c r="AA25" s="5"/>
      <c r="AB25" s="5"/>
      <c r="AC25" s="5"/>
      <c r="AD25" s="5"/>
      <c r="AE25" s="5"/>
    </row>
    <row r="26" spans="1:31" s="19" customFormat="1" ht="22.5" customHeight="1" thickTop="1">
      <c r="A26" s="5"/>
      <c r="B26" s="76" t="s">
        <v>40</v>
      </c>
      <c r="C26" s="67">
        <f>ROUNDDOWN(健康保険料率*任意継続保険適用の標準報酬月額,0)</f>
        <v>43569</v>
      </c>
      <c r="D26" s="178"/>
      <c r="E26" s="137">
        <f>健康保険料_月額*2</f>
        <v>87138</v>
      </c>
      <c r="F26" s="140">
        <f>VLOOKUP(取得月,マスタ!AQ34:AU45,5,FALSE)</f>
        <v>259290</v>
      </c>
      <c r="G26" s="145">
        <f>VLOOKUP(取得月,マスタ!AQ20:AW31,5,FALSE)</f>
        <v>513546</v>
      </c>
      <c r="I26" s="114">
        <f>マスタ!AU17</f>
        <v>511870</v>
      </c>
      <c r="J26" s="16"/>
      <c r="K26" s="7"/>
      <c r="L26" s="7"/>
      <c r="M26" s="5"/>
      <c r="N26" s="17"/>
      <c r="O26" s="18"/>
      <c r="Q26" s="5"/>
      <c r="R26" s="5"/>
      <c r="S26" s="5"/>
      <c r="T26" s="5"/>
      <c r="U26" s="5"/>
      <c r="V26" s="5"/>
      <c r="W26" s="5"/>
      <c r="X26" s="5"/>
      <c r="Y26" s="5"/>
      <c r="Z26" s="5"/>
      <c r="AA26" s="5"/>
      <c r="AB26" s="5"/>
      <c r="AC26" s="5"/>
      <c r="AD26" s="5"/>
      <c r="AE26" s="5"/>
    </row>
    <row r="27" spans="1:31" s="19" customFormat="1" ht="22.5" customHeight="1">
      <c r="A27" s="5"/>
      <c r="B27" s="77" t="s">
        <v>41</v>
      </c>
      <c r="C27" s="68">
        <f>IF(介護保険第2号被保険者=1,ROUNDDOWN(任意継続保険適用の標準報酬月額*介護保険料率,0),0)</f>
        <v>7238</v>
      </c>
      <c r="D27" s="178"/>
      <c r="E27" s="138">
        <f>介護保険料_月額*2</f>
        <v>14476</v>
      </c>
      <c r="F27" s="143">
        <f>(VLOOKUP(取得月,マスタ!AQ34:AY45,6,FALSE))*介護保険第2号被保険者</f>
        <v>43075</v>
      </c>
      <c r="G27" s="146">
        <f>(VLOOKUP(取得月,マスタ!AQ20:AW31,6,FALSE))*介護保険第2号被保険者</f>
        <v>85314</v>
      </c>
      <c r="H27" s="12"/>
      <c r="I27" s="88">
        <f>マスタ!AV17</f>
        <v>85035</v>
      </c>
      <c r="J27" s="16"/>
      <c r="K27" s="7"/>
      <c r="L27" s="7"/>
      <c r="M27" s="5"/>
      <c r="N27" s="17"/>
      <c r="O27" s="18"/>
      <c r="Q27" s="5"/>
      <c r="R27" s="5"/>
      <c r="S27" s="5"/>
      <c r="T27" s="5"/>
      <c r="U27" s="5"/>
      <c r="V27" s="5"/>
      <c r="W27" s="5"/>
      <c r="X27" s="5"/>
      <c r="Y27" s="5"/>
      <c r="Z27" s="5"/>
      <c r="AA27" s="5"/>
      <c r="AB27" s="5"/>
      <c r="AC27" s="5"/>
      <c r="AD27" s="5"/>
      <c r="AE27" s="5"/>
    </row>
    <row r="28" spans="1:31" s="19" customFormat="1" ht="22.5" customHeight="1" thickBot="1">
      <c r="A28" s="5"/>
      <c r="B28" s="156" t="s">
        <v>80</v>
      </c>
      <c r="C28" s="157" cm="1">
        <f t="array" ref="C28">ROUNDDOWN(子ども・子育て支援金率*任意継続保険適用の標準報酬月額,0)</f>
        <v>1081</v>
      </c>
      <c r="D28" s="178"/>
      <c r="E28" s="153">
        <f>子ども・子育て支援金*2</f>
        <v>2162</v>
      </c>
      <c r="F28" s="154">
        <f>VLOOKUP(取得月,マスタ!AQ34:AW45,7,FALSE)</f>
        <v>6433</v>
      </c>
      <c r="G28" s="155">
        <f>VLOOKUP(取得月,マスタ!AQ20:AW31,7,FALSE)</f>
        <v>12741</v>
      </c>
      <c r="H28" s="151" t="s">
        <v>81</v>
      </c>
      <c r="I28" s="88">
        <f>マスタ!AW17</f>
        <v>12700</v>
      </c>
      <c r="J28" s="16"/>
      <c r="K28" s="7"/>
      <c r="L28" s="7"/>
      <c r="M28" s="5"/>
      <c r="N28" s="17"/>
      <c r="O28" s="18"/>
      <c r="Q28" s="5"/>
      <c r="R28" s="5"/>
      <c r="S28" s="5"/>
      <c r="T28" s="5"/>
      <c r="U28" s="5"/>
      <c r="V28" s="5"/>
      <c r="W28" s="5"/>
      <c r="X28" s="5"/>
      <c r="Y28" s="5"/>
      <c r="Z28" s="5"/>
      <c r="AA28" s="5"/>
      <c r="AB28" s="5"/>
      <c r="AC28" s="5"/>
      <c r="AD28" s="5"/>
      <c r="AE28" s="5"/>
    </row>
    <row r="29" spans="1:31" s="19" customFormat="1" ht="17.25" thickBot="1">
      <c r="A29" s="5"/>
      <c r="B29" s="78" t="s">
        <v>58</v>
      </c>
      <c r="C29" s="69">
        <f>SUM(C26:C28)</f>
        <v>51888</v>
      </c>
      <c r="D29" s="179"/>
      <c r="E29" s="139">
        <f t="shared" ref="E29:G29" si="0">SUM(E26:E28)</f>
        <v>103776</v>
      </c>
      <c r="F29" s="144">
        <f t="shared" si="0"/>
        <v>308798</v>
      </c>
      <c r="G29" s="147">
        <f t="shared" si="0"/>
        <v>611601</v>
      </c>
      <c r="H29" s="12"/>
      <c r="I29" s="89">
        <f>SUM(I26:I28)</f>
        <v>609605</v>
      </c>
      <c r="J29" s="16"/>
      <c r="K29" s="7"/>
      <c r="L29" s="7"/>
      <c r="M29" s="5"/>
      <c r="N29" s="17"/>
      <c r="O29" s="18"/>
      <c r="Q29" s="5"/>
      <c r="R29" s="5"/>
      <c r="S29" s="5"/>
      <c r="T29" s="5"/>
      <c r="U29" s="5"/>
      <c r="V29" s="5"/>
      <c r="W29" s="5"/>
      <c r="X29" s="5"/>
      <c r="Y29" s="5"/>
      <c r="Z29" s="5"/>
      <c r="AA29" s="5"/>
      <c r="AB29" s="5"/>
      <c r="AC29" s="5"/>
      <c r="AD29" s="5"/>
      <c r="AE29" s="5"/>
    </row>
    <row r="30" spans="1:31" s="19" customFormat="1" ht="17.25" thickBot="1">
      <c r="A30" s="5"/>
      <c r="B30" s="5"/>
      <c r="C30" s="5"/>
      <c r="D30" s="180"/>
      <c r="E30" s="131" t="s">
        <v>60</v>
      </c>
      <c r="F30" s="132" t="str">
        <f>IF(AND(取得月&gt;3,取得月&lt;9),"10月~半年分","")</f>
        <v>10月~半年分</v>
      </c>
      <c r="G30" s="90" t="s">
        <v>87</v>
      </c>
      <c r="H30" s="12"/>
      <c r="I30" s="16"/>
      <c r="J30" s="16"/>
      <c r="K30" s="7"/>
      <c r="L30" s="7"/>
      <c r="M30" s="5"/>
      <c r="N30" s="17"/>
      <c r="O30" s="18"/>
      <c r="Q30" s="5"/>
      <c r="R30" s="5"/>
      <c r="S30" s="5"/>
      <c r="T30" s="5"/>
      <c r="U30" s="5"/>
      <c r="V30" s="5"/>
      <c r="W30" s="5"/>
      <c r="X30" s="5"/>
      <c r="Y30" s="5"/>
      <c r="Z30" s="5"/>
      <c r="AA30" s="5"/>
      <c r="AB30" s="5"/>
      <c r="AC30" s="5"/>
      <c r="AD30" s="5"/>
      <c r="AE30" s="5"/>
    </row>
    <row r="31" spans="1:31" s="19" customFormat="1" ht="19.5" customHeight="1" thickTop="1">
      <c r="A31" s="5"/>
      <c r="B31" s="5"/>
      <c r="C31" s="5"/>
      <c r="D31" s="180"/>
      <c r="E31" s="140">
        <f>健康保険料_月額</f>
        <v>43569</v>
      </c>
      <c r="F31" s="137">
        <f>IF(AND(取得月&gt;3,取得月&lt;9),(VLOOKUP(9,マスタ!AQ34:AU45,5,FALSE)-E31),"")</f>
        <v>258444</v>
      </c>
      <c r="G31" s="148">
        <f>マスタ!AU17</f>
        <v>511870</v>
      </c>
      <c r="H31" s="12"/>
      <c r="I31" s="16"/>
      <c r="J31" s="65"/>
      <c r="K31" s="7"/>
      <c r="L31" s="7"/>
      <c r="M31" s="5"/>
      <c r="N31" s="17"/>
      <c r="O31" s="18"/>
      <c r="Q31" s="5"/>
      <c r="R31" s="5"/>
      <c r="S31" s="5"/>
      <c r="T31" s="5"/>
      <c r="U31" s="5"/>
      <c r="V31" s="5"/>
      <c r="W31" s="5"/>
      <c r="X31" s="5"/>
      <c r="Y31" s="5"/>
      <c r="Z31" s="5"/>
      <c r="AA31" s="5"/>
      <c r="AB31" s="5"/>
      <c r="AC31" s="5"/>
      <c r="AD31" s="5"/>
      <c r="AE31" s="5"/>
    </row>
    <row r="32" spans="1:31" s="19" customFormat="1" ht="18.75" customHeight="1">
      <c r="A32" s="5"/>
      <c r="B32" s="5"/>
      <c r="C32" s="5"/>
      <c r="D32" s="180"/>
      <c r="E32" s="141">
        <f>介護保険料_月額</f>
        <v>7238</v>
      </c>
      <c r="F32" s="142">
        <f>IF(介護保険第2号被保険者=1,IF(AND(取得月&gt;3,取得月&lt;9),(VLOOKUP(9,マスタ!AQ34:AY45,6,FALSE)-E32),""),0)</f>
        <v>42934</v>
      </c>
      <c r="G32" s="149">
        <f>IF(介護保険第2号被保険者=1,マスタ!AV17,0)</f>
        <v>85035</v>
      </c>
      <c r="H32" s="12"/>
      <c r="I32" s="16"/>
      <c r="J32" s="16"/>
      <c r="K32" s="7"/>
      <c r="L32" s="7"/>
      <c r="M32" s="5"/>
      <c r="N32" s="17"/>
      <c r="O32" s="18"/>
      <c r="Q32" s="5"/>
      <c r="R32" s="5"/>
      <c r="S32" s="5"/>
      <c r="T32" s="5"/>
      <c r="U32" s="5"/>
      <c r="V32" s="5"/>
      <c r="W32" s="5"/>
      <c r="X32" s="5"/>
      <c r="Y32" s="5"/>
      <c r="Z32" s="5"/>
      <c r="AA32" s="5"/>
      <c r="AB32" s="5"/>
      <c r="AC32" s="5"/>
      <c r="AD32" s="5"/>
      <c r="AE32" s="5"/>
    </row>
    <row r="33" spans="1:31" s="19" customFormat="1" ht="22.5" customHeight="1" thickBot="1">
      <c r="A33" s="5"/>
      <c r="B33" s="5"/>
      <c r="C33" s="5"/>
      <c r="D33" s="178"/>
      <c r="E33" s="153">
        <f>子ども・子育て支援金</f>
        <v>1081</v>
      </c>
      <c r="F33" s="154">
        <f>IF(AND(取得月&gt;3,取得月&lt;9),(VLOOKUP(9,マスタ!AQ34:AW45,7,FALSE)-E33),"")</f>
        <v>6412</v>
      </c>
      <c r="G33" s="166"/>
      <c r="H33" s="151" t="s">
        <v>81</v>
      </c>
      <c r="I33" s="88"/>
      <c r="J33" s="16"/>
      <c r="K33" s="7"/>
      <c r="L33" s="7"/>
      <c r="M33" s="5"/>
      <c r="N33" s="17"/>
      <c r="O33" s="18"/>
      <c r="Q33" s="5"/>
      <c r="R33" s="5"/>
      <c r="S33" s="5"/>
      <c r="T33" s="5"/>
      <c r="U33" s="5"/>
      <c r="V33" s="5"/>
      <c r="W33" s="5"/>
      <c r="X33" s="5"/>
      <c r="Y33" s="5"/>
      <c r="Z33" s="5"/>
      <c r="AA33" s="5"/>
      <c r="AB33" s="5"/>
      <c r="AC33" s="5"/>
      <c r="AD33" s="5"/>
      <c r="AE33" s="5"/>
    </row>
    <row r="34" spans="1:31" s="19" customFormat="1" ht="19.5" customHeight="1" thickBot="1">
      <c r="A34" s="5"/>
      <c r="B34" s="5"/>
      <c r="C34" s="5"/>
      <c r="D34" s="180"/>
      <c r="E34" s="139">
        <f t="shared" ref="E34:G34" si="1">SUM(E31:E33)</f>
        <v>51888</v>
      </c>
      <c r="F34" s="144">
        <f>IF(AND(取得月&gt;3,取得月&lt;9),SUM(F31:F33),"")</f>
        <v>307790</v>
      </c>
      <c r="G34" s="150">
        <f t="shared" si="1"/>
        <v>596905</v>
      </c>
      <c r="H34" s="12"/>
      <c r="I34" s="16"/>
      <c r="J34" s="16"/>
      <c r="K34" s="7"/>
      <c r="L34" s="7"/>
      <c r="M34" s="5"/>
      <c r="N34" s="17"/>
      <c r="O34" s="18"/>
      <c r="Q34" s="5"/>
      <c r="R34" s="5"/>
      <c r="S34" s="5"/>
      <c r="T34" s="5"/>
      <c r="U34" s="5"/>
      <c r="V34" s="5"/>
      <c r="W34" s="5"/>
      <c r="X34" s="5"/>
      <c r="Y34" s="5"/>
      <c r="Z34" s="5"/>
      <c r="AA34" s="5"/>
      <c r="AB34" s="5"/>
      <c r="AC34" s="5"/>
      <c r="AD34" s="5"/>
      <c r="AE34" s="5"/>
    </row>
    <row r="35" spans="1:31" s="19" customFormat="1" ht="18" customHeight="1">
      <c r="A35" s="5"/>
      <c r="B35" s="66" t="s">
        <v>63</v>
      </c>
      <c r="C35" s="13"/>
      <c r="D35" s="13"/>
      <c r="F35" s="15"/>
      <c r="G35" s="23"/>
      <c r="H35" s="11"/>
      <c r="I35" s="16"/>
      <c r="J35" s="16"/>
      <c r="K35" s="7"/>
      <c r="L35" s="7"/>
      <c r="M35" s="5"/>
      <c r="N35" s="17"/>
      <c r="O35" s="18"/>
      <c r="Q35" s="5"/>
      <c r="R35" s="5"/>
      <c r="S35" s="5"/>
      <c r="T35" s="5"/>
      <c r="U35" s="5"/>
      <c r="V35" s="5"/>
      <c r="W35" s="5"/>
      <c r="X35" s="5"/>
      <c r="Y35" s="5"/>
      <c r="Z35" s="5"/>
      <c r="AA35" s="5"/>
      <c r="AB35" s="5"/>
      <c r="AC35" s="5"/>
      <c r="AD35" s="5"/>
      <c r="AE35" s="5"/>
    </row>
    <row r="36" spans="1:31" ht="18" customHeight="1">
      <c r="B36" s="66" t="s">
        <v>42</v>
      </c>
      <c r="C36" s="13"/>
      <c r="D36" s="13"/>
      <c r="E36" s="5"/>
      <c r="F36" s="15"/>
      <c r="G36" s="23"/>
      <c r="J36" s="16"/>
      <c r="K36" s="7"/>
      <c r="L36" s="7"/>
      <c r="N36" s="17"/>
      <c r="O36" s="18"/>
    </row>
    <row r="37" spans="1:31" ht="18" customHeight="1">
      <c r="B37" s="66" t="s">
        <v>43</v>
      </c>
      <c r="C37" s="13"/>
      <c r="D37" s="13"/>
      <c r="E37" s="5"/>
      <c r="F37" s="15"/>
      <c r="G37" s="23"/>
      <c r="J37" s="16"/>
      <c r="K37" s="7"/>
      <c r="L37" s="7"/>
      <c r="N37" s="17"/>
      <c r="O37" s="18"/>
    </row>
    <row r="38" spans="1:31" ht="18" customHeight="1">
      <c r="B38" s="66" t="s">
        <v>44</v>
      </c>
      <c r="C38" s="13"/>
      <c r="D38" s="13"/>
      <c r="E38" s="5"/>
      <c r="F38" s="15"/>
      <c r="G38" s="23"/>
      <c r="J38" s="16"/>
      <c r="K38" s="7"/>
      <c r="L38" s="7"/>
      <c r="N38" s="17"/>
      <c r="O38" s="18"/>
    </row>
    <row r="39" spans="1:31" ht="18" customHeight="1">
      <c r="B39" s="21" t="s">
        <v>59</v>
      </c>
    </row>
    <row r="40" spans="1:31" ht="18" customHeight="1"/>
    <row r="41" spans="1:31">
      <c r="C41" s="5"/>
    </row>
    <row r="42" spans="1:31">
      <c r="C42" s="5"/>
    </row>
    <row r="43" spans="1:31">
      <c r="C43" s="5"/>
    </row>
    <row r="44" spans="1:31">
      <c r="C44" s="5"/>
    </row>
  </sheetData>
  <sheetProtection sheet="1" objects="1" scenarios="1"/>
  <mergeCells count="8">
    <mergeCell ref="B3:G5"/>
    <mergeCell ref="E23:G23"/>
    <mergeCell ref="C23:C25"/>
    <mergeCell ref="B13:F13"/>
    <mergeCell ref="H19:M19"/>
    <mergeCell ref="B14:F14"/>
    <mergeCell ref="C15:E15"/>
    <mergeCell ref="E19:G19"/>
  </mergeCells>
  <phoneticPr fontId="3"/>
  <conditionalFormatting sqref="D23 D35 D37">
    <cfRule type="expression" dxfId="24" priority="23" stopIfTrue="1">
      <formula>IF(#REF!=1,1)</formula>
    </cfRule>
  </conditionalFormatting>
  <conditionalFormatting sqref="D24:D25">
    <cfRule type="expression" dxfId="23" priority="39" stopIfTrue="1">
      <formula>IF($E23=1,1)</formula>
    </cfRule>
  </conditionalFormatting>
  <conditionalFormatting sqref="D26">
    <cfRule type="expression" dxfId="22" priority="59" stopIfTrue="1">
      <formula>IF($E24=1,1)</formula>
    </cfRule>
  </conditionalFormatting>
  <conditionalFormatting sqref="D27:D34">
    <cfRule type="expression" dxfId="21" priority="33" stopIfTrue="1">
      <formula>IF($E27=1,1)</formula>
    </cfRule>
  </conditionalFormatting>
  <conditionalFormatting sqref="D36">
    <cfRule type="expression" dxfId="20" priority="61" stopIfTrue="1">
      <formula>IF($B35=1,1)</formula>
    </cfRule>
  </conditionalFormatting>
  <conditionalFormatting sqref="D38">
    <cfRule type="expression" dxfId="19" priority="65" stopIfTrue="1">
      <formula>IF($B36=1,1)</formula>
    </cfRule>
  </conditionalFormatting>
  <conditionalFormatting sqref="E30:F30">
    <cfRule type="expression" dxfId="18" priority="8" stopIfTrue="1">
      <formula>IF(C31=1,1)</formula>
    </cfRule>
  </conditionalFormatting>
  <conditionalFormatting sqref="F21:F22 F27:F29">
    <cfRule type="expression" dxfId="17" priority="13" stopIfTrue="1">
      <formula>IF(D21=1,1)</formula>
    </cfRule>
  </conditionalFormatting>
  <conditionalFormatting sqref="F24">
    <cfRule type="expression" dxfId="16" priority="20" stopIfTrue="1">
      <formula>IF(D26=1,1)</formula>
    </cfRule>
  </conditionalFormatting>
  <conditionalFormatting sqref="F32:F38">
    <cfRule type="expression" dxfId="15" priority="1" stopIfTrue="1">
      <formula>IF(D32=1,1)</formula>
    </cfRule>
  </conditionalFormatting>
  <conditionalFormatting sqref="G1 J1 I2:J4">
    <cfRule type="expression" dxfId="14" priority="12" stopIfTrue="1">
      <formula>IF(#REF!=1,1)</formula>
    </cfRule>
  </conditionalFormatting>
  <conditionalFormatting sqref="G21:G22 G24:G25 G27:G30 G34:G38">
    <cfRule type="expression" dxfId="13" priority="18" stopIfTrue="1">
      <formula>IF(#REF!=9,1)</formula>
    </cfRule>
  </conditionalFormatting>
  <conditionalFormatting sqref="I7">
    <cfRule type="expression" dxfId="12" priority="75" stopIfTrue="1">
      <formula>IF($E22=1,1)</formula>
    </cfRule>
  </conditionalFormatting>
  <conditionalFormatting sqref="I11">
    <cfRule type="expression" dxfId="11" priority="41" stopIfTrue="1">
      <formula>IF($E24=1,1)</formula>
    </cfRule>
  </conditionalFormatting>
  <conditionalFormatting sqref="I12">
    <cfRule type="expression" dxfId="10" priority="45" stopIfTrue="1">
      <formula>IF($E29=1,1)</formula>
    </cfRule>
  </conditionalFormatting>
  <conditionalFormatting sqref="I16 C23:D23 D24:D25 C26:D29 D30:D34 C35:D38">
    <cfRule type="expression" dxfId="9" priority="14" stopIfTrue="1">
      <formula>IF(#REF!&gt;0,1)</formula>
    </cfRule>
  </conditionalFormatting>
  <conditionalFormatting sqref="I20:I23 I30:I32 I34:I35">
    <cfRule type="expression" dxfId="8" priority="24" stopIfTrue="1">
      <formula>IF(#REF!=1,1)</formula>
    </cfRule>
  </conditionalFormatting>
  <conditionalFormatting sqref="I24:I25 I27:I29">
    <cfRule type="expression" dxfId="7" priority="5" stopIfTrue="1">
      <formula>IF(#REF!=9,1)</formula>
    </cfRule>
  </conditionalFormatting>
  <conditionalFormatting sqref="I33">
    <cfRule type="expression" dxfId="6" priority="2" stopIfTrue="1">
      <formula>IF(#REF!=9,1)</formula>
    </cfRule>
  </conditionalFormatting>
  <conditionalFormatting sqref="I5:J5">
    <cfRule type="expression" dxfId="5" priority="31" stopIfTrue="1">
      <formula>IF($E21=1,1)</formula>
    </cfRule>
  </conditionalFormatting>
  <conditionalFormatting sqref="I6:J6 J7:J12">
    <cfRule type="expression" dxfId="4" priority="76" stopIfTrue="1">
      <formula>IF(#REF!=1,1)</formula>
    </cfRule>
  </conditionalFormatting>
  <conditionalFormatting sqref="I13:J13">
    <cfRule type="expression" dxfId="3" priority="19" stopIfTrue="1">
      <formula>IF(#REF!=1,1)</formula>
    </cfRule>
  </conditionalFormatting>
  <conditionalFormatting sqref="I14:J14 J15:J16 I17:J17">
    <cfRule type="expression" dxfId="2" priority="60" stopIfTrue="1">
      <formula>IF($B35=1,1)</formula>
    </cfRule>
  </conditionalFormatting>
  <conditionalFormatting sqref="J20">
    <cfRule type="expression" dxfId="1" priority="26" stopIfTrue="1">
      <formula>IF(#REF!=1,1)</formula>
    </cfRule>
  </conditionalFormatting>
  <conditionalFormatting sqref="J21:J38">
    <cfRule type="expression" dxfId="0" priority="27" stopIfTrue="1">
      <formula>IF(#REF!=1,1)</formula>
    </cfRule>
  </conditionalFormatting>
  <dataValidations count="2">
    <dataValidation type="whole" allowBlank="1" showInputMessage="1" showErrorMessage="1" sqref="C17" xr:uid="{00000000-0002-0000-0000-000000000000}">
      <formula1>1</formula1>
      <formula2>12</formula2>
    </dataValidation>
    <dataValidation type="list" allowBlank="1" showInputMessage="1" showErrorMessage="1" sqref="C19" xr:uid="{00000000-0002-0000-0000-000001000000}">
      <formula1>"0,1"</formula1>
    </dataValidation>
  </dataValidations>
  <pageMargins left="0.56999999999999995" right="0.27" top="0.84" bottom="0.69" header="0.51200000000000001" footer="0.51200000000000001"/>
  <pageSetup paperSize="9" scale="8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'\\PH-FLS12\健康保険組合\05_22_適用\4_任意継続\新システム\[任継保険料算定ツール（令和4年度保険料率）.xlsx]【削除禁】マスタ'!#REF!</xm:f>
          </x14:formula1>
          <xm:sqref>I18</xm:sqref>
        </x14:dataValidation>
        <x14:dataValidation type="list" allowBlank="1" showInputMessage="1" showErrorMessage="1" xr:uid="{00000000-0002-0000-0000-000003000000}">
          <x14:formula1>
            <xm:f>マスタ!$B$8:$B$70</xm:f>
          </x14:formula1>
          <xm:sqref>C12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H57"/>
  <sheetViews>
    <sheetView zoomScale="85" zoomScaleNormal="85" workbookViewId="0">
      <selection activeCell="AB12" sqref="AB12"/>
    </sheetView>
  </sheetViews>
  <sheetFormatPr defaultColWidth="9" defaultRowHeight="18.75"/>
  <cols>
    <col min="1" max="1" width="17.5" style="33" bestFit="1" customWidth="1"/>
    <col min="2" max="2" width="14.375" style="33" bestFit="1" customWidth="1"/>
    <col min="3" max="3" width="13" style="33" bestFit="1" customWidth="1"/>
    <col min="4" max="4" width="9" style="33"/>
    <col min="5" max="6" width="7.375" style="33" bestFit="1" customWidth="1"/>
    <col min="7" max="7" width="4.875" style="33" bestFit="1" customWidth="1"/>
    <col min="8" max="8" width="7.375" style="33" bestFit="1" customWidth="1"/>
    <col min="9" max="9" width="6.25" style="33" bestFit="1" customWidth="1"/>
    <col min="10" max="10" width="5.75" style="136" customWidth="1"/>
    <col min="11" max="11" width="7.375" style="33" bestFit="1" customWidth="1"/>
    <col min="12" max="23" width="9" style="33"/>
    <col min="24" max="25" width="6.25" style="33" bestFit="1" customWidth="1"/>
    <col min="26" max="26" width="5.125" style="33" bestFit="1" customWidth="1"/>
    <col min="27" max="27" width="6.25" style="33" bestFit="1" customWidth="1"/>
    <col min="28" max="28" width="6.75" style="33" bestFit="1" customWidth="1"/>
    <col min="29" max="29" width="5.125" style="33" customWidth="1"/>
    <col min="30" max="30" width="18.625" style="33" bestFit="1" customWidth="1"/>
    <col min="31" max="31" width="2.75" style="33" bestFit="1" customWidth="1"/>
    <col min="32" max="32" width="9" style="33"/>
    <col min="33" max="33" width="2.75" style="33" bestFit="1" customWidth="1"/>
    <col min="34" max="36" width="9" style="33"/>
    <col min="37" max="38" width="10" style="33" bestFit="1" customWidth="1"/>
    <col min="39" max="39" width="4.375" style="33" bestFit="1" customWidth="1"/>
    <col min="40" max="40" width="2.75" style="33" bestFit="1" customWidth="1"/>
    <col min="41" max="42" width="9" style="33"/>
    <col min="43" max="43" width="7.125" style="33" bestFit="1" customWidth="1"/>
    <col min="44" max="50" width="9" style="33"/>
    <col min="51" max="51" width="11" style="33" bestFit="1" customWidth="1"/>
    <col min="52" max="52" width="19.25" style="33" bestFit="1" customWidth="1"/>
    <col min="53" max="16384" width="9" style="33"/>
  </cols>
  <sheetData>
    <row r="1" spans="1:60" ht="30">
      <c r="A1" s="71" t="s">
        <v>57</v>
      </c>
      <c r="B1" s="72"/>
      <c r="C1" s="72"/>
      <c r="D1" s="72"/>
      <c r="E1" s="72"/>
      <c r="F1" s="72"/>
      <c r="G1" s="72"/>
      <c r="H1" s="72"/>
      <c r="I1" s="165"/>
      <c r="J1" s="133"/>
    </row>
    <row r="2" spans="1:60" ht="19.5" thickBot="1">
      <c r="J2" s="134"/>
    </row>
    <row r="3" spans="1:60" ht="19.5" thickBot="1">
      <c r="A3" s="32" t="s">
        <v>54</v>
      </c>
      <c r="J3" s="134"/>
      <c r="L3" s="79" t="s">
        <v>52</v>
      </c>
      <c r="M3" s="80"/>
      <c r="N3" s="80"/>
      <c r="O3" s="80"/>
      <c r="P3" s="80"/>
      <c r="Q3" s="80"/>
      <c r="R3" s="80"/>
      <c r="S3" s="80"/>
      <c r="T3" s="80"/>
      <c r="U3" s="80"/>
      <c r="V3" s="80"/>
      <c r="W3" s="81"/>
      <c r="X3" s="169" t="s">
        <v>53</v>
      </c>
      <c r="Y3" s="170"/>
      <c r="Z3" s="170"/>
      <c r="AA3" s="170"/>
      <c r="AB3" s="167"/>
      <c r="AC3" s="167"/>
      <c r="AP3" s="32" t="s">
        <v>56</v>
      </c>
    </row>
    <row r="4" spans="1:60" s="34" customFormat="1" ht="145.5">
      <c r="A4" s="35"/>
      <c r="B4" s="35"/>
      <c r="C4" s="35" t="s">
        <v>0</v>
      </c>
      <c r="D4" s="35"/>
      <c r="E4" s="41" t="s">
        <v>1</v>
      </c>
      <c r="F4" s="41" t="s">
        <v>2</v>
      </c>
      <c r="G4" s="41" t="s">
        <v>3</v>
      </c>
      <c r="H4" s="41" t="s">
        <v>4</v>
      </c>
      <c r="I4" s="41" t="s">
        <v>5</v>
      </c>
      <c r="J4" s="108" t="s">
        <v>75</v>
      </c>
      <c r="K4" s="42" t="s">
        <v>6</v>
      </c>
      <c r="L4" s="82" t="s">
        <v>7</v>
      </c>
      <c r="M4" s="83" t="s">
        <v>8</v>
      </c>
      <c r="N4" s="83" t="s">
        <v>9</v>
      </c>
      <c r="O4" s="83" t="s">
        <v>10</v>
      </c>
      <c r="P4" s="83" t="s">
        <v>11</v>
      </c>
      <c r="Q4" s="83" t="s">
        <v>12</v>
      </c>
      <c r="R4" s="83" t="s">
        <v>13</v>
      </c>
      <c r="S4" s="83" t="s">
        <v>14</v>
      </c>
      <c r="T4" s="83" t="s">
        <v>15</v>
      </c>
      <c r="U4" s="83" t="s">
        <v>16</v>
      </c>
      <c r="V4" s="83" t="s">
        <v>17</v>
      </c>
      <c r="W4" s="84" t="s">
        <v>18</v>
      </c>
      <c r="X4" s="171" t="s">
        <v>19</v>
      </c>
      <c r="Y4" s="172" t="s">
        <v>20</v>
      </c>
      <c r="Z4" s="172" t="s">
        <v>21</v>
      </c>
      <c r="AA4" s="173" t="s">
        <v>22</v>
      </c>
      <c r="AB4" s="168" t="s">
        <v>23</v>
      </c>
      <c r="AC4" s="181" t="s">
        <v>76</v>
      </c>
      <c r="AD4" s="44"/>
      <c r="AE4" s="45"/>
      <c r="AF4" s="45"/>
      <c r="AG4" s="45"/>
      <c r="AH4" s="45"/>
      <c r="AI4" s="45"/>
      <c r="AJ4" s="45"/>
      <c r="AK4" s="45"/>
      <c r="AL4" s="45"/>
      <c r="AM4" s="45" t="s">
        <v>24</v>
      </c>
      <c r="AN4" s="45"/>
      <c r="AP4" s="35" t="s">
        <v>55</v>
      </c>
      <c r="AQ4" s="35" t="s">
        <v>45</v>
      </c>
      <c r="AR4" s="36" t="s">
        <v>1</v>
      </c>
      <c r="AS4" s="36" t="s">
        <v>2</v>
      </c>
      <c r="AT4" s="36" t="s">
        <v>3</v>
      </c>
      <c r="AU4" s="36" t="s">
        <v>4</v>
      </c>
      <c r="AV4" s="36" t="s">
        <v>5</v>
      </c>
      <c r="AW4" s="108" t="s">
        <v>75</v>
      </c>
      <c r="AX4" s="36" t="s">
        <v>6</v>
      </c>
      <c r="AZ4" s="104" t="s">
        <v>68</v>
      </c>
      <c r="BA4" s="102" t="s">
        <v>1</v>
      </c>
      <c r="BB4" s="98" t="s">
        <v>2</v>
      </c>
      <c r="BC4" s="98" t="s">
        <v>3</v>
      </c>
      <c r="BD4" s="110" t="s">
        <v>75</v>
      </c>
      <c r="BE4" s="98" t="s">
        <v>4</v>
      </c>
      <c r="BF4" s="98" t="s">
        <v>5</v>
      </c>
      <c r="BG4" s="98" t="s">
        <v>6</v>
      </c>
      <c r="BH4" s="99"/>
    </row>
    <row r="5" spans="1:60" ht="19.5" thickBot="1">
      <c r="A5" s="43" t="s">
        <v>25</v>
      </c>
      <c r="B5" s="43">
        <v>0</v>
      </c>
      <c r="C5" s="43">
        <v>58</v>
      </c>
      <c r="D5" s="43"/>
      <c r="E5" s="64">
        <f>H5-F5-G5-J5</f>
        <v>2970</v>
      </c>
      <c r="F5" s="64">
        <f>ROUNDDOWN(C5*$Y$5,0)</f>
        <v>2198</v>
      </c>
      <c r="G5" s="64">
        <f>ROUNDDOWN(C5*$Z$5,0)</f>
        <v>75</v>
      </c>
      <c r="H5" s="64">
        <f>ROUNDDOWN(C5*$AA$5,0)</f>
        <v>5376</v>
      </c>
      <c r="I5" s="38">
        <f>ROUNDDOWN(C5*$AB$5,0)</f>
        <v>893</v>
      </c>
      <c r="J5" s="109">
        <f>ROUNDDOWN(C5*$AC$5,0)</f>
        <v>133</v>
      </c>
      <c r="K5" s="38">
        <f>ROUNDDOWN(H5+I5+J5,0)</f>
        <v>6402</v>
      </c>
      <c r="L5" s="85">
        <v>0.99673694000000002</v>
      </c>
      <c r="M5" s="86">
        <v>1.99022147</v>
      </c>
      <c r="N5" s="86">
        <v>2.9804642000000001</v>
      </c>
      <c r="O5" s="86">
        <v>3.9674757299999999</v>
      </c>
      <c r="P5" s="86">
        <v>4.9512665699999996</v>
      </c>
      <c r="Q5" s="86">
        <v>5.9318472499999997</v>
      </c>
      <c r="R5" s="86">
        <v>6.9092282300000001</v>
      </c>
      <c r="S5" s="86">
        <v>7.8834199600000003</v>
      </c>
      <c r="T5" s="86">
        <v>8.8544328500000002</v>
      </c>
      <c r="U5" s="86">
        <v>9.8222772700000007</v>
      </c>
      <c r="V5" s="86">
        <v>10.78696356</v>
      </c>
      <c r="W5" s="87">
        <v>11.74850202</v>
      </c>
      <c r="X5" s="91">
        <v>53.5</v>
      </c>
      <c r="Y5" s="92">
        <v>37.9</v>
      </c>
      <c r="Z5" s="46">
        <v>1.3</v>
      </c>
      <c r="AA5" s="174">
        <f>SUM(X5:Z5)</f>
        <v>92.7</v>
      </c>
      <c r="AB5" s="211">
        <v>15.4</v>
      </c>
      <c r="AC5" s="182">
        <v>2.2999999999999998</v>
      </c>
      <c r="AD5" s="93" t="s">
        <v>69</v>
      </c>
      <c r="AE5" s="47">
        <v>1</v>
      </c>
      <c r="AF5" s="47"/>
      <c r="AG5" s="47">
        <v>1</v>
      </c>
      <c r="AH5" s="47" t="s">
        <v>26</v>
      </c>
      <c r="AI5" s="47"/>
      <c r="AJ5" s="47"/>
      <c r="AK5" s="94">
        <v>20250401</v>
      </c>
      <c r="AL5" s="94">
        <v>20250401</v>
      </c>
      <c r="AM5" s="47">
        <v>0</v>
      </c>
      <c r="AN5" s="47">
        <v>1</v>
      </c>
      <c r="AP5" s="37">
        <f>任意継続保険適用の標準報酬月額/1000</f>
        <v>470</v>
      </c>
      <c r="AQ5" s="37">
        <v>0</v>
      </c>
      <c r="AR5" s="38">
        <f>AU5-AS5-AT5-AW5</f>
        <v>24064</v>
      </c>
      <c r="AS5" s="38">
        <f>ROUNDDOWN($AP$5*$Y$5,0)</f>
        <v>17813</v>
      </c>
      <c r="AT5" s="38">
        <f>ROUNDDOWN($AP$5*$Z$5,0)</f>
        <v>611</v>
      </c>
      <c r="AU5" s="38">
        <f>ROUNDDOWN($AP$5*$AA$5,0)</f>
        <v>43569</v>
      </c>
      <c r="AV5" s="38">
        <f>ROUNDDOWN($AP$5*$AB$5,0)</f>
        <v>7238</v>
      </c>
      <c r="AW5" s="112">
        <f>ROUNDDOWN($AP$5*$AC$5,0)</f>
        <v>1081</v>
      </c>
      <c r="AX5" s="38">
        <f>AU5+AV5</f>
        <v>50807</v>
      </c>
      <c r="AZ5" s="105">
        <f t="shared" ref="AZ5:AZ17" si="0">AR5+AS5</f>
        <v>41877</v>
      </c>
      <c r="BA5" s="100"/>
      <c r="BB5" s="100"/>
      <c r="BC5" s="100"/>
      <c r="BD5" s="100"/>
      <c r="BE5" s="100"/>
      <c r="BF5" s="100"/>
      <c r="BG5" s="100"/>
      <c r="BH5" s="100"/>
    </row>
    <row r="6" spans="1:60" ht="26.25" thickBot="1">
      <c r="A6" s="60" t="s">
        <v>64</v>
      </c>
      <c r="E6" s="63"/>
      <c r="F6" s="63"/>
      <c r="G6" s="63"/>
      <c r="H6" s="63"/>
      <c r="I6" s="62"/>
      <c r="J6" s="135"/>
      <c r="K6" s="61"/>
      <c r="M6" s="215" t="s">
        <v>94</v>
      </c>
      <c r="N6" s="215"/>
      <c r="O6" s="215"/>
      <c r="P6" s="215"/>
      <c r="Q6" s="215"/>
      <c r="R6" s="215"/>
      <c r="S6" s="215"/>
      <c r="T6" s="215"/>
      <c r="U6" s="215" t="s">
        <v>93</v>
      </c>
      <c r="V6" s="215"/>
      <c r="W6" s="215"/>
      <c r="X6" s="215"/>
      <c r="Y6" s="215"/>
      <c r="Z6" s="215"/>
      <c r="AA6" s="215"/>
      <c r="AQ6" s="39">
        <v>1</v>
      </c>
      <c r="AR6" s="38">
        <f t="shared" ref="AR6:AR17" si="1">AU6-AS6-AT6</f>
        <v>25063</v>
      </c>
      <c r="AS6" s="38">
        <f>ROUNDDOWN($AP$5*$Y$5*$L$5,0)</f>
        <v>17754</v>
      </c>
      <c r="AT6" s="38">
        <f>ROUNDDOWN($AP$5*$Z$5*$L$5,0)</f>
        <v>609</v>
      </c>
      <c r="AU6" s="38">
        <f>ROUNDDOWN($AP$5*$AA$5*$L$5,0)</f>
        <v>43426</v>
      </c>
      <c r="AV6" s="38">
        <f>ROUNDDOWN($AP$5*$AB$5*$L$5,0)</f>
        <v>7214</v>
      </c>
      <c r="AW6" s="112">
        <f>ROUNDDOWN($AP$5*$AC$5*$L$5,0)</f>
        <v>1077</v>
      </c>
      <c r="AX6" s="38">
        <f t="shared" ref="AX6:AX17" si="2">AU6+AV6</f>
        <v>50640</v>
      </c>
      <c r="AZ6" s="105">
        <f t="shared" si="0"/>
        <v>42817</v>
      </c>
      <c r="BA6" s="100"/>
      <c r="BB6" s="100"/>
      <c r="BC6" s="100"/>
      <c r="BD6" s="100"/>
      <c r="BE6" s="100"/>
      <c r="BF6" s="100"/>
      <c r="BG6" s="100"/>
      <c r="BH6" s="100"/>
    </row>
    <row r="7" spans="1:60" ht="19.5" thickBot="1">
      <c r="A7" s="48" t="s">
        <v>27</v>
      </c>
      <c r="B7" s="49" t="s">
        <v>32</v>
      </c>
      <c r="C7" s="50" t="s">
        <v>33</v>
      </c>
      <c r="E7" s="33" t="s">
        <v>92</v>
      </c>
      <c r="F7" s="33" t="s">
        <v>2</v>
      </c>
      <c r="G7" s="33" t="s">
        <v>3</v>
      </c>
      <c r="H7" s="33" t="s">
        <v>91</v>
      </c>
      <c r="I7" s="33" t="s">
        <v>90</v>
      </c>
      <c r="J7" s="134" t="s">
        <v>88</v>
      </c>
      <c r="K7" s="33" t="s">
        <v>89</v>
      </c>
      <c r="M7" s="215" t="s">
        <v>92</v>
      </c>
      <c r="N7" s="215" t="s">
        <v>2</v>
      </c>
      <c r="O7" s="215" t="s">
        <v>3</v>
      </c>
      <c r="P7" s="215" t="s">
        <v>91</v>
      </c>
      <c r="Q7" s="215" t="s">
        <v>90</v>
      </c>
      <c r="R7" s="215" t="s">
        <v>88</v>
      </c>
      <c r="S7" s="215" t="s">
        <v>89</v>
      </c>
      <c r="T7" s="215"/>
      <c r="U7" s="215" t="s">
        <v>92</v>
      </c>
      <c r="V7" s="215" t="s">
        <v>2</v>
      </c>
      <c r="W7" s="215" t="s">
        <v>3</v>
      </c>
      <c r="X7" s="215" t="s">
        <v>91</v>
      </c>
      <c r="Y7" s="215" t="s">
        <v>90</v>
      </c>
      <c r="Z7" s="215" t="s">
        <v>88</v>
      </c>
      <c r="AA7" s="215" t="s">
        <v>89</v>
      </c>
      <c r="AQ7" s="39">
        <v>2</v>
      </c>
      <c r="AR7" s="38">
        <f t="shared" si="1"/>
        <v>50044</v>
      </c>
      <c r="AS7" s="38">
        <f>ROUNDDOWN($AP$5*$Y$5*$M$5,0)</f>
        <v>35451</v>
      </c>
      <c r="AT7" s="38">
        <f>ROUNDDOWN($AP$5*$Z$5*$M$5,0)</f>
        <v>1216</v>
      </c>
      <c r="AU7" s="38">
        <f>ROUNDDOWN($AP$5*$AA$5*$M$5,0)</f>
        <v>86711</v>
      </c>
      <c r="AV7" s="38">
        <f>ROUNDDOWN($AP$5*$AB$5*$M$5,0)</f>
        <v>14405</v>
      </c>
      <c r="AW7" s="112">
        <f>ROUNDDOWN($AP$5*$AC$5*$M$5,0)</f>
        <v>2151</v>
      </c>
      <c r="AX7" s="38">
        <f t="shared" si="2"/>
        <v>101116</v>
      </c>
      <c r="AZ7" s="105">
        <f t="shared" si="0"/>
        <v>85495</v>
      </c>
      <c r="BA7" s="100"/>
      <c r="BB7" s="100"/>
      <c r="BC7" s="100"/>
      <c r="BD7" s="100"/>
      <c r="BE7" s="100"/>
      <c r="BF7" s="100"/>
      <c r="BG7" s="100"/>
      <c r="BH7" s="100"/>
    </row>
    <row r="8" spans="1:60">
      <c r="A8" s="51">
        <v>58</v>
      </c>
      <c r="B8" s="52">
        <v>58000</v>
      </c>
      <c r="C8" s="53">
        <f>IF(B8&gt;=算定ツール!$F$12,算定ツール!$F$12,B8)</f>
        <v>58000</v>
      </c>
      <c r="E8" s="197">
        <f>H8-F8-G8</f>
        <v>3103</v>
      </c>
      <c r="F8" s="198">
        <f t="shared" ref="F8:F39" si="3">ROUNDDOWN(C8/1000*$Y$5,0)</f>
        <v>2198</v>
      </c>
      <c r="G8" s="198">
        <f t="shared" ref="G8:G39" si="4">ROUNDDOWN(C8/1000*$Z$5,0)</f>
        <v>75</v>
      </c>
      <c r="H8" s="198">
        <f t="shared" ref="H8:H39" si="5">ROUNDDOWN(C8/1000*$AA$5,0)</f>
        <v>5376</v>
      </c>
      <c r="I8" s="199">
        <f t="shared" ref="I8:I39" si="6">ROUNDDOWN(C8/1000*$AB$5,0)</f>
        <v>893</v>
      </c>
      <c r="J8" s="200">
        <f t="shared" ref="J8:J39" si="7">ROUNDDOWN(C8/1000*$AC$5,0)</f>
        <v>133</v>
      </c>
      <c r="K8" s="201">
        <f>ROUNDDOWN(H8+I8+J8,0)</f>
        <v>6402</v>
      </c>
      <c r="M8" s="216">
        <v>3104</v>
      </c>
      <c r="N8" s="216">
        <v>2198</v>
      </c>
      <c r="O8" s="216">
        <v>75</v>
      </c>
      <c r="P8" s="216">
        <v>5376</v>
      </c>
      <c r="Q8" s="216">
        <v>893</v>
      </c>
      <c r="R8" s="216">
        <v>133</v>
      </c>
      <c r="S8" s="216">
        <v>6403</v>
      </c>
      <c r="T8" s="215"/>
      <c r="U8" s="218">
        <f>E8-M8</f>
        <v>-1</v>
      </c>
      <c r="V8" s="216">
        <f t="shared" ref="V8:AA8" si="8">F8-N8</f>
        <v>0</v>
      </c>
      <c r="W8" s="216">
        <f t="shared" si="8"/>
        <v>0</v>
      </c>
      <c r="X8" s="216">
        <f t="shared" si="8"/>
        <v>0</v>
      </c>
      <c r="Y8" s="216">
        <f t="shared" si="8"/>
        <v>0</v>
      </c>
      <c r="Z8" s="216">
        <f t="shared" si="8"/>
        <v>0</v>
      </c>
      <c r="AA8" s="218">
        <f t="shared" si="8"/>
        <v>-1</v>
      </c>
      <c r="AQ8" s="39">
        <v>3</v>
      </c>
      <c r="AR8" s="38">
        <f t="shared" si="1"/>
        <v>74943</v>
      </c>
      <c r="AS8" s="38">
        <f>ROUNDDOWN($AP$5*$Y$5*$N$5,0)</f>
        <v>53091</v>
      </c>
      <c r="AT8" s="38">
        <f>ROUNDDOWN($AP$5*$Z$5*$N$5,0)</f>
        <v>1821</v>
      </c>
      <c r="AU8" s="38">
        <f>ROUNDDOWN($AP$5*$AA$5*$N$5,0)</f>
        <v>129855</v>
      </c>
      <c r="AV8" s="38">
        <f>ROUNDDOWN($AP$5*$AB$5*$N$5,0)</f>
        <v>21572</v>
      </c>
      <c r="AW8" s="112">
        <f>ROUNDDOWN($AP$5*$AC$5*$N$5,0)</f>
        <v>3221</v>
      </c>
      <c r="AX8" s="38">
        <f t="shared" si="2"/>
        <v>151427</v>
      </c>
      <c r="AZ8" s="105">
        <f t="shared" si="0"/>
        <v>128034</v>
      </c>
      <c r="BA8" s="100"/>
      <c r="BB8" s="100"/>
      <c r="BC8" s="100"/>
      <c r="BD8" s="100"/>
      <c r="BE8" s="100"/>
      <c r="BF8" s="100"/>
      <c r="BG8" s="100"/>
      <c r="BH8" s="100"/>
    </row>
    <row r="9" spans="1:60">
      <c r="A9" s="54">
        <v>68</v>
      </c>
      <c r="B9" s="55">
        <v>68000</v>
      </c>
      <c r="C9" s="56">
        <f>IF(B9&gt;=算定ツール!$F$12,算定ツール!$F$12,B9)</f>
        <v>68000</v>
      </c>
      <c r="E9" s="202">
        <f t="shared" ref="E9:E57" si="9">H9-F9-G9</f>
        <v>3638</v>
      </c>
      <c r="F9" s="64">
        <f t="shared" si="3"/>
        <v>2577</v>
      </c>
      <c r="G9" s="64">
        <f t="shared" si="4"/>
        <v>88</v>
      </c>
      <c r="H9" s="64">
        <f t="shared" si="5"/>
        <v>6303</v>
      </c>
      <c r="I9" s="38">
        <f t="shared" si="6"/>
        <v>1047</v>
      </c>
      <c r="J9" s="109">
        <f t="shared" si="7"/>
        <v>156</v>
      </c>
      <c r="K9" s="203">
        <f t="shared" ref="K9:K57" si="10">ROUNDDOWN(H9+I9+J9,0)</f>
        <v>7506</v>
      </c>
      <c r="M9" s="216">
        <v>3639</v>
      </c>
      <c r="N9" s="216">
        <v>2577</v>
      </c>
      <c r="O9" s="216">
        <v>88</v>
      </c>
      <c r="P9" s="216">
        <v>6303</v>
      </c>
      <c r="Q9" s="216">
        <v>1047</v>
      </c>
      <c r="R9" s="216">
        <v>156</v>
      </c>
      <c r="S9" s="216">
        <v>7507</v>
      </c>
      <c r="T9" s="215"/>
      <c r="U9" s="218">
        <f t="shared" ref="U9:U57" si="11">E9-M9</f>
        <v>-1</v>
      </c>
      <c r="V9" s="216">
        <f t="shared" ref="V9:V57" si="12">F9-N9</f>
        <v>0</v>
      </c>
      <c r="W9" s="216">
        <f t="shared" ref="W9:W57" si="13">G9-O9</f>
        <v>0</v>
      </c>
      <c r="X9" s="216">
        <f t="shared" ref="X9:X57" si="14">H9-P9</f>
        <v>0</v>
      </c>
      <c r="Y9" s="216">
        <f t="shared" ref="Y9:Y57" si="15">I9-Q9</f>
        <v>0</v>
      </c>
      <c r="Z9" s="216">
        <f t="shared" ref="Z9:Z57" si="16">J9-R9</f>
        <v>0</v>
      </c>
      <c r="AA9" s="218">
        <f t="shared" ref="AA9:AA57" si="17">K9-S9</f>
        <v>-1</v>
      </c>
      <c r="AQ9" s="39">
        <v>4</v>
      </c>
      <c r="AR9" s="38">
        <f t="shared" si="1"/>
        <v>99762</v>
      </c>
      <c r="AS9" s="38">
        <f>ROUNDDOWN($AP$5*$Y$5*$O$5,0)</f>
        <v>70672</v>
      </c>
      <c r="AT9" s="38">
        <f>ROUNDDOWN($AP$5*$Z$5*$O$5,0)</f>
        <v>2424</v>
      </c>
      <c r="AU9" s="38">
        <f>ROUNDDOWN($AP$5*$AA$5*$O$5,0)</f>
        <v>172858</v>
      </c>
      <c r="AV9" s="38">
        <f>ROUNDDOWN($AP$5*$AB$5*$O$5,0)</f>
        <v>28716</v>
      </c>
      <c r="AW9" s="112">
        <f>ROUNDDOWN($AP$5*$AC$5*$O$5,0)</f>
        <v>4288</v>
      </c>
      <c r="AX9" s="38">
        <f t="shared" si="2"/>
        <v>201574</v>
      </c>
      <c r="AZ9" s="105">
        <f t="shared" si="0"/>
        <v>170434</v>
      </c>
      <c r="BA9" s="100"/>
      <c r="BB9" s="100"/>
      <c r="BC9" s="100"/>
      <c r="BD9" s="100"/>
      <c r="BE9" s="100"/>
      <c r="BF9" s="100"/>
      <c r="BG9" s="100"/>
      <c r="BH9" s="100"/>
    </row>
    <row r="10" spans="1:60">
      <c r="A10" s="54">
        <v>78</v>
      </c>
      <c r="B10" s="55">
        <v>78000</v>
      </c>
      <c r="C10" s="56">
        <f>IF(B10&gt;=算定ツール!$F$12,算定ツール!$F$12,B10)</f>
        <v>78000</v>
      </c>
      <c r="E10" s="202">
        <f t="shared" si="9"/>
        <v>4173</v>
      </c>
      <c r="F10" s="64">
        <f t="shared" si="3"/>
        <v>2956</v>
      </c>
      <c r="G10" s="64">
        <f t="shared" si="4"/>
        <v>101</v>
      </c>
      <c r="H10" s="64">
        <f t="shared" si="5"/>
        <v>7230</v>
      </c>
      <c r="I10" s="38">
        <f t="shared" si="6"/>
        <v>1201</v>
      </c>
      <c r="J10" s="109">
        <f t="shared" si="7"/>
        <v>179</v>
      </c>
      <c r="K10" s="203">
        <f t="shared" si="10"/>
        <v>8610</v>
      </c>
      <c r="M10" s="216">
        <v>4174</v>
      </c>
      <c r="N10" s="216">
        <v>2956</v>
      </c>
      <c r="O10" s="216">
        <v>101</v>
      </c>
      <c r="P10" s="216">
        <v>7230</v>
      </c>
      <c r="Q10" s="216">
        <v>1201</v>
      </c>
      <c r="R10" s="216">
        <v>179</v>
      </c>
      <c r="S10" s="216">
        <v>8611</v>
      </c>
      <c r="T10" s="215"/>
      <c r="U10" s="218">
        <f t="shared" si="11"/>
        <v>-1</v>
      </c>
      <c r="V10" s="216">
        <f t="shared" si="12"/>
        <v>0</v>
      </c>
      <c r="W10" s="216">
        <f t="shared" si="13"/>
        <v>0</v>
      </c>
      <c r="X10" s="216">
        <f t="shared" si="14"/>
        <v>0</v>
      </c>
      <c r="Y10" s="216">
        <f t="shared" si="15"/>
        <v>0</v>
      </c>
      <c r="Z10" s="216">
        <f t="shared" si="16"/>
        <v>0</v>
      </c>
      <c r="AA10" s="218">
        <f t="shared" si="17"/>
        <v>-1</v>
      </c>
      <c r="AQ10" s="39">
        <v>5</v>
      </c>
      <c r="AR10" s="38">
        <f t="shared" si="1"/>
        <v>124500</v>
      </c>
      <c r="AS10" s="38">
        <f>ROUNDDOWN($AP$5*$Y$5*$P$5,0)</f>
        <v>88196</v>
      </c>
      <c r="AT10" s="38">
        <f>ROUNDDOWN($AP$5*$Z$5*$P$5,0)</f>
        <v>3025</v>
      </c>
      <c r="AU10" s="38">
        <f>ROUNDDOWN($AP$5*$AA$5*$P$5,0)</f>
        <v>215721</v>
      </c>
      <c r="AV10" s="38">
        <f>ROUNDDOWN($AP$5*$AB$5*$P$5,0)</f>
        <v>35837</v>
      </c>
      <c r="AW10" s="112">
        <f>ROUNDDOWN($AP$5*$AC$5*$P$5,0)</f>
        <v>5352</v>
      </c>
      <c r="AX10" s="38">
        <f t="shared" si="2"/>
        <v>251558</v>
      </c>
      <c r="AZ10" s="105">
        <f t="shared" si="0"/>
        <v>212696</v>
      </c>
      <c r="BA10" s="103">
        <f>AR5+AR10</f>
        <v>148564</v>
      </c>
      <c r="BB10" s="101">
        <f>AS5+AS10</f>
        <v>106009</v>
      </c>
      <c r="BC10" s="101">
        <f>AT5+AT10</f>
        <v>3636</v>
      </c>
      <c r="BD10" s="111">
        <f>AW5+AW10</f>
        <v>6433</v>
      </c>
      <c r="BE10" s="101">
        <f>AU5+AU10</f>
        <v>259290</v>
      </c>
      <c r="BF10" s="101">
        <f>AV5+AV10</f>
        <v>43075</v>
      </c>
      <c r="BG10" s="101">
        <f t="shared" ref="BG10" si="18">AX5+AX10</f>
        <v>302365</v>
      </c>
      <c r="BH10" s="100" t="s">
        <v>85</v>
      </c>
    </row>
    <row r="11" spans="1:60">
      <c r="A11" s="54">
        <v>88</v>
      </c>
      <c r="B11" s="55">
        <v>88000</v>
      </c>
      <c r="C11" s="56">
        <f>IF(B11&gt;=算定ツール!$F$12,算定ツール!$F$12,B11)</f>
        <v>88000</v>
      </c>
      <c r="E11" s="202">
        <f t="shared" si="9"/>
        <v>4708</v>
      </c>
      <c r="F11" s="64">
        <f t="shared" si="3"/>
        <v>3335</v>
      </c>
      <c r="G11" s="64">
        <f t="shared" si="4"/>
        <v>114</v>
      </c>
      <c r="H11" s="64">
        <f t="shared" si="5"/>
        <v>8157</v>
      </c>
      <c r="I11" s="38">
        <f t="shared" si="6"/>
        <v>1355</v>
      </c>
      <c r="J11" s="109">
        <f t="shared" si="7"/>
        <v>202</v>
      </c>
      <c r="K11" s="203">
        <f t="shared" si="10"/>
        <v>9714</v>
      </c>
      <c r="M11" s="216">
        <v>4709</v>
      </c>
      <c r="N11" s="216">
        <v>3335</v>
      </c>
      <c r="O11" s="216">
        <v>114</v>
      </c>
      <c r="P11" s="216">
        <v>8157</v>
      </c>
      <c r="Q11" s="216">
        <v>1355</v>
      </c>
      <c r="R11" s="216">
        <v>202</v>
      </c>
      <c r="S11" s="216">
        <v>9715</v>
      </c>
      <c r="T11" s="215"/>
      <c r="U11" s="218">
        <f t="shared" si="11"/>
        <v>-1</v>
      </c>
      <c r="V11" s="216">
        <f t="shared" si="12"/>
        <v>0</v>
      </c>
      <c r="W11" s="216">
        <f t="shared" si="13"/>
        <v>0</v>
      </c>
      <c r="X11" s="216">
        <f t="shared" si="14"/>
        <v>0</v>
      </c>
      <c r="Y11" s="216">
        <f t="shared" si="15"/>
        <v>0</v>
      </c>
      <c r="Z11" s="216">
        <f t="shared" si="16"/>
        <v>0</v>
      </c>
      <c r="AA11" s="218">
        <f t="shared" si="17"/>
        <v>-1</v>
      </c>
      <c r="AQ11" s="39">
        <v>6</v>
      </c>
      <c r="AR11" s="38">
        <f t="shared" si="1"/>
        <v>149157</v>
      </c>
      <c r="AS11" s="38">
        <f>ROUNDDOWN($AP$5*$Y$5*$Q$5,0)</f>
        <v>105663</v>
      </c>
      <c r="AT11" s="38">
        <f>ROUNDDOWN($AP$5*$Z$5*$Q$5,0)</f>
        <v>3624</v>
      </c>
      <c r="AU11" s="38">
        <f>ROUNDDOWN($AP$5*$AA$5*$Q$5,0)</f>
        <v>258444</v>
      </c>
      <c r="AV11" s="38">
        <f>ROUNDDOWN($AP$5*$AB$5*$Q$5,0)</f>
        <v>42934</v>
      </c>
      <c r="AW11" s="112">
        <f>ROUNDDOWN($AP$5*$AC$5*$Q$5,0)</f>
        <v>6412</v>
      </c>
      <c r="AX11" s="38">
        <f t="shared" si="2"/>
        <v>301378</v>
      </c>
      <c r="AZ11" s="105">
        <f t="shared" si="0"/>
        <v>254820</v>
      </c>
      <c r="BA11" s="241">
        <f>BA10+BB10</f>
        <v>254573</v>
      </c>
      <c r="BB11" s="242"/>
      <c r="BC11" s="100"/>
      <c r="BD11" s="100"/>
      <c r="BE11" s="100"/>
      <c r="BF11" s="100"/>
      <c r="BG11" s="100"/>
      <c r="BH11" s="100"/>
    </row>
    <row r="12" spans="1:60">
      <c r="A12" s="54">
        <v>98</v>
      </c>
      <c r="B12" s="55">
        <v>98000</v>
      </c>
      <c r="C12" s="56">
        <f>IF(B12&gt;=算定ツール!$F$12,算定ツール!$F$12,B12)</f>
        <v>98000</v>
      </c>
      <c r="E12" s="202">
        <f t="shared" si="9"/>
        <v>5243</v>
      </c>
      <c r="F12" s="64">
        <f t="shared" si="3"/>
        <v>3714</v>
      </c>
      <c r="G12" s="64">
        <f t="shared" si="4"/>
        <v>127</v>
      </c>
      <c r="H12" s="64">
        <f t="shared" si="5"/>
        <v>9084</v>
      </c>
      <c r="I12" s="38">
        <f t="shared" si="6"/>
        <v>1509</v>
      </c>
      <c r="J12" s="109">
        <f t="shared" si="7"/>
        <v>225</v>
      </c>
      <c r="K12" s="203">
        <f t="shared" si="10"/>
        <v>10818</v>
      </c>
      <c r="M12" s="216">
        <v>5244</v>
      </c>
      <c r="N12" s="216">
        <v>3714</v>
      </c>
      <c r="O12" s="216">
        <v>127</v>
      </c>
      <c r="P12" s="216">
        <v>9084</v>
      </c>
      <c r="Q12" s="216">
        <v>1509</v>
      </c>
      <c r="R12" s="216">
        <v>225</v>
      </c>
      <c r="S12" s="216">
        <v>10819</v>
      </c>
      <c r="T12" s="215"/>
      <c r="U12" s="218">
        <f t="shared" si="11"/>
        <v>-1</v>
      </c>
      <c r="V12" s="216">
        <f t="shared" si="12"/>
        <v>0</v>
      </c>
      <c r="W12" s="216">
        <f t="shared" si="13"/>
        <v>0</v>
      </c>
      <c r="X12" s="216">
        <f t="shared" si="14"/>
        <v>0</v>
      </c>
      <c r="Y12" s="216">
        <f t="shared" si="15"/>
        <v>0</v>
      </c>
      <c r="Z12" s="216">
        <f t="shared" si="16"/>
        <v>0</v>
      </c>
      <c r="AA12" s="218">
        <f t="shared" si="17"/>
        <v>-1</v>
      </c>
      <c r="AQ12" s="39">
        <v>7</v>
      </c>
      <c r="AR12" s="38">
        <f t="shared" si="1"/>
        <v>173733</v>
      </c>
      <c r="AS12" s="38">
        <f>ROUNDDOWN($AP$5*$Y$5*$R$5,0)</f>
        <v>123074</v>
      </c>
      <c r="AT12" s="38">
        <f>ROUNDDOWN($AP$5*$Z$5*$R$5,0)</f>
        <v>4221</v>
      </c>
      <c r="AU12" s="38">
        <f>ROUNDDOWN($AP$5*$AA$5*$R$5,0)</f>
        <v>301028</v>
      </c>
      <c r="AV12" s="38">
        <f>ROUNDDOWN($AP$5*$AB$5*$R$5,0)</f>
        <v>50008</v>
      </c>
      <c r="AW12" s="112">
        <f>ROUNDDOWN($AP$5*$AC$5*$R$5,0)</f>
        <v>7468</v>
      </c>
      <c r="AX12" s="38">
        <f t="shared" si="2"/>
        <v>351036</v>
      </c>
      <c r="AZ12" s="105">
        <f t="shared" si="0"/>
        <v>296807</v>
      </c>
      <c r="BA12" s="100"/>
      <c r="BB12" s="100"/>
      <c r="BC12" s="100"/>
      <c r="BD12" s="100"/>
      <c r="BE12" s="100"/>
      <c r="BF12" s="100"/>
      <c r="BG12" s="100"/>
      <c r="BH12" s="100"/>
    </row>
    <row r="13" spans="1:60">
      <c r="A13" s="54">
        <v>104</v>
      </c>
      <c r="B13" s="55">
        <v>104000</v>
      </c>
      <c r="C13" s="56">
        <f>IF(B13&gt;=算定ツール!$F$12,算定ツール!$F$12,B13)</f>
        <v>104000</v>
      </c>
      <c r="E13" s="202">
        <f t="shared" si="9"/>
        <v>5564</v>
      </c>
      <c r="F13" s="64">
        <f t="shared" si="3"/>
        <v>3941</v>
      </c>
      <c r="G13" s="64">
        <f t="shared" si="4"/>
        <v>135</v>
      </c>
      <c r="H13" s="64">
        <f t="shared" si="5"/>
        <v>9640</v>
      </c>
      <c r="I13" s="38">
        <f t="shared" si="6"/>
        <v>1601</v>
      </c>
      <c r="J13" s="109">
        <f t="shared" si="7"/>
        <v>239</v>
      </c>
      <c r="K13" s="203">
        <f t="shared" si="10"/>
        <v>11480</v>
      </c>
      <c r="M13" s="216">
        <v>5565</v>
      </c>
      <c r="N13" s="216">
        <v>3941</v>
      </c>
      <c r="O13" s="217">
        <v>135</v>
      </c>
      <c r="P13" s="216">
        <v>9640</v>
      </c>
      <c r="Q13" s="216">
        <v>1601</v>
      </c>
      <c r="R13" s="216">
        <v>239</v>
      </c>
      <c r="S13" s="216">
        <v>11480</v>
      </c>
      <c r="T13" s="215"/>
      <c r="U13" s="218">
        <f t="shared" si="11"/>
        <v>-1</v>
      </c>
      <c r="V13" s="216">
        <f t="shared" si="12"/>
        <v>0</v>
      </c>
      <c r="W13" s="216">
        <f t="shared" si="13"/>
        <v>0</v>
      </c>
      <c r="X13" s="216">
        <f t="shared" si="14"/>
        <v>0</v>
      </c>
      <c r="Y13" s="216">
        <f t="shared" si="15"/>
        <v>0</v>
      </c>
      <c r="Z13" s="216">
        <f t="shared" si="16"/>
        <v>0</v>
      </c>
      <c r="AA13" s="216">
        <f t="shared" si="17"/>
        <v>0</v>
      </c>
      <c r="AQ13" s="39">
        <v>8</v>
      </c>
      <c r="AR13" s="38">
        <f t="shared" si="1"/>
        <v>198229</v>
      </c>
      <c r="AS13" s="38">
        <f>ROUNDDOWN($AP$5*$Y$5*$S$5,0)</f>
        <v>140427</v>
      </c>
      <c r="AT13" s="38">
        <f>ROUNDDOWN($AP$5*$Z$5*$S$5,0)</f>
        <v>4816</v>
      </c>
      <c r="AU13" s="38">
        <f>ROUNDDOWN($AP$5*$AA$5*$S$5,0)</f>
        <v>343472</v>
      </c>
      <c r="AV13" s="38">
        <f>ROUNDDOWN($AP$5*$AB$5*$S$5,0)</f>
        <v>57060</v>
      </c>
      <c r="AW13" s="112">
        <f>ROUNDDOWN($AP$5*$AC$5*$S$5,0)</f>
        <v>8521</v>
      </c>
      <c r="AX13" s="38">
        <f t="shared" si="2"/>
        <v>400532</v>
      </c>
      <c r="AZ13" s="105">
        <f t="shared" si="0"/>
        <v>338656</v>
      </c>
      <c r="BA13" s="100"/>
      <c r="BB13" s="100"/>
      <c r="BC13" s="100"/>
      <c r="BD13" s="100"/>
      <c r="BE13" s="100"/>
      <c r="BF13" s="100"/>
      <c r="BG13" s="100"/>
      <c r="BH13" s="100"/>
    </row>
    <row r="14" spans="1:60">
      <c r="A14" s="54">
        <v>110</v>
      </c>
      <c r="B14" s="55">
        <v>110000</v>
      </c>
      <c r="C14" s="56">
        <f>IF(B14&gt;=算定ツール!$F$12,算定ツール!$F$12,B14)</f>
        <v>110000</v>
      </c>
      <c r="E14" s="202">
        <f t="shared" si="9"/>
        <v>5885</v>
      </c>
      <c r="F14" s="64">
        <f t="shared" si="3"/>
        <v>4169</v>
      </c>
      <c r="G14" s="64">
        <f t="shared" si="4"/>
        <v>143</v>
      </c>
      <c r="H14" s="64">
        <f t="shared" si="5"/>
        <v>10197</v>
      </c>
      <c r="I14" s="38">
        <f t="shared" si="6"/>
        <v>1694</v>
      </c>
      <c r="J14" s="109">
        <f t="shared" si="7"/>
        <v>253</v>
      </c>
      <c r="K14" s="203">
        <f t="shared" si="10"/>
        <v>12144</v>
      </c>
      <c r="M14" s="216">
        <v>5885</v>
      </c>
      <c r="N14" s="216">
        <v>4169</v>
      </c>
      <c r="O14" s="216">
        <v>143</v>
      </c>
      <c r="P14" s="216">
        <v>10197</v>
      </c>
      <c r="Q14" s="216">
        <v>1694</v>
      </c>
      <c r="R14" s="216">
        <v>253</v>
      </c>
      <c r="S14" s="216">
        <v>12144</v>
      </c>
      <c r="T14" s="215"/>
      <c r="U14" s="216">
        <f t="shared" si="11"/>
        <v>0</v>
      </c>
      <c r="V14" s="216">
        <f t="shared" si="12"/>
        <v>0</v>
      </c>
      <c r="W14" s="216">
        <f t="shared" si="13"/>
        <v>0</v>
      </c>
      <c r="X14" s="216">
        <f t="shared" si="14"/>
        <v>0</v>
      </c>
      <c r="Y14" s="216">
        <f t="shared" si="15"/>
        <v>0</v>
      </c>
      <c r="Z14" s="216">
        <f t="shared" si="16"/>
        <v>0</v>
      </c>
      <c r="AA14" s="216">
        <f t="shared" si="17"/>
        <v>0</v>
      </c>
      <c r="AQ14" s="39">
        <v>9</v>
      </c>
      <c r="AR14" s="38">
        <f t="shared" si="1"/>
        <v>222644</v>
      </c>
      <c r="AS14" s="38">
        <f>ROUNDDOWN($AP$5*$Y$5*$T$5,0)</f>
        <v>157724</v>
      </c>
      <c r="AT14" s="38">
        <f>ROUNDDOWN($AP$5*$Z$5*$T$5,0)</f>
        <v>5410</v>
      </c>
      <c r="AU14" s="38">
        <f>ROUNDDOWN($AP$5*$AA$5*$T$5,0)</f>
        <v>385778</v>
      </c>
      <c r="AV14" s="38">
        <f>ROUNDDOWN($AP$5*$AB$5*$T$5,0)</f>
        <v>64088</v>
      </c>
      <c r="AW14" s="112">
        <f>ROUNDDOWN($AP$5*$AC$5*$T$5,0)</f>
        <v>9571</v>
      </c>
      <c r="AX14" s="38">
        <f t="shared" si="2"/>
        <v>449866</v>
      </c>
      <c r="AZ14" s="105">
        <f t="shared" si="0"/>
        <v>380368</v>
      </c>
      <c r="BA14" s="100"/>
      <c r="BB14" s="100"/>
      <c r="BC14" s="100"/>
      <c r="BD14" s="100"/>
      <c r="BE14" s="100"/>
      <c r="BF14" s="100"/>
      <c r="BG14" s="100"/>
      <c r="BH14" s="100"/>
    </row>
    <row r="15" spans="1:60">
      <c r="A15" s="54">
        <v>118</v>
      </c>
      <c r="B15" s="55">
        <v>118000</v>
      </c>
      <c r="C15" s="56">
        <f>IF(B15&gt;=算定ツール!$F$12,算定ツール!$F$12,B15)</f>
        <v>118000</v>
      </c>
      <c r="E15" s="202">
        <f t="shared" si="9"/>
        <v>6313</v>
      </c>
      <c r="F15" s="64">
        <f t="shared" si="3"/>
        <v>4472</v>
      </c>
      <c r="G15" s="64">
        <f t="shared" si="4"/>
        <v>153</v>
      </c>
      <c r="H15" s="64">
        <f t="shared" si="5"/>
        <v>10938</v>
      </c>
      <c r="I15" s="38">
        <f t="shared" si="6"/>
        <v>1817</v>
      </c>
      <c r="J15" s="109">
        <f t="shared" si="7"/>
        <v>271</v>
      </c>
      <c r="K15" s="203">
        <f t="shared" si="10"/>
        <v>13026</v>
      </c>
      <c r="M15" s="216">
        <v>6314</v>
      </c>
      <c r="N15" s="216">
        <v>4472</v>
      </c>
      <c r="O15" s="216">
        <v>153</v>
      </c>
      <c r="P15" s="216">
        <v>10938</v>
      </c>
      <c r="Q15" s="216">
        <v>1817</v>
      </c>
      <c r="R15" s="216">
        <v>271</v>
      </c>
      <c r="S15" s="216">
        <v>13027</v>
      </c>
      <c r="T15" s="215"/>
      <c r="U15" s="218">
        <f t="shared" si="11"/>
        <v>-1</v>
      </c>
      <c r="V15" s="216">
        <f t="shared" si="12"/>
        <v>0</v>
      </c>
      <c r="W15" s="216">
        <f t="shared" si="13"/>
        <v>0</v>
      </c>
      <c r="X15" s="216">
        <f t="shared" si="14"/>
        <v>0</v>
      </c>
      <c r="Y15" s="216">
        <f t="shared" si="15"/>
        <v>0</v>
      </c>
      <c r="Z15" s="216">
        <f t="shared" si="16"/>
        <v>0</v>
      </c>
      <c r="AA15" s="218">
        <f t="shared" si="17"/>
        <v>-1</v>
      </c>
      <c r="AQ15" s="212">
        <v>10</v>
      </c>
      <c r="AR15" s="213">
        <f t="shared" si="1"/>
        <v>246981</v>
      </c>
      <c r="AS15" s="213">
        <f>ROUNDDOWN($AP$5*$Y$5*$U$5,0)</f>
        <v>174964</v>
      </c>
      <c r="AT15" s="213">
        <f>ROUNDDOWN($AP$5*$Z$5*$U$5,0)</f>
        <v>6001</v>
      </c>
      <c r="AU15" s="213">
        <f>ROUNDDOWN($AP$5*$AA$5*$U$5,0)</f>
        <v>427946</v>
      </c>
      <c r="AV15" s="213">
        <f>ROUNDDOWN($AP$5*$AB$5*$U$5,0)</f>
        <v>71093</v>
      </c>
      <c r="AW15" s="214">
        <f>ROUNDDOWN($AP$5*$AC$5*$U$5,0)</f>
        <v>10617</v>
      </c>
      <c r="AX15" s="213">
        <f t="shared" si="2"/>
        <v>499039</v>
      </c>
      <c r="AZ15" s="105">
        <f t="shared" si="0"/>
        <v>421945</v>
      </c>
      <c r="BA15" s="100"/>
      <c r="BB15" s="100"/>
      <c r="BC15" s="100"/>
      <c r="BD15" s="100"/>
      <c r="BE15" s="100"/>
      <c r="BF15" s="100"/>
      <c r="BG15" s="100"/>
      <c r="BH15" s="100"/>
    </row>
    <row r="16" spans="1:60">
      <c r="A16" s="54">
        <v>126</v>
      </c>
      <c r="B16" s="55">
        <v>126000</v>
      </c>
      <c r="C16" s="56">
        <f>IF(B16&gt;=算定ツール!$F$12,算定ツール!$F$12,B16)</f>
        <v>126000</v>
      </c>
      <c r="E16" s="202">
        <f t="shared" si="9"/>
        <v>6742</v>
      </c>
      <c r="F16" s="64">
        <f t="shared" si="3"/>
        <v>4775</v>
      </c>
      <c r="G16" s="64">
        <f t="shared" si="4"/>
        <v>163</v>
      </c>
      <c r="H16" s="64">
        <f t="shared" si="5"/>
        <v>11680</v>
      </c>
      <c r="I16" s="38">
        <f t="shared" si="6"/>
        <v>1940</v>
      </c>
      <c r="J16" s="109">
        <f t="shared" si="7"/>
        <v>289</v>
      </c>
      <c r="K16" s="203">
        <f t="shared" si="10"/>
        <v>13909</v>
      </c>
      <c r="M16" s="216">
        <v>6743</v>
      </c>
      <c r="N16" s="216">
        <v>4775</v>
      </c>
      <c r="O16" s="217">
        <v>163</v>
      </c>
      <c r="P16" s="216">
        <v>11680</v>
      </c>
      <c r="Q16" s="216">
        <v>1940</v>
      </c>
      <c r="R16" s="216">
        <v>289</v>
      </c>
      <c r="S16" s="216">
        <v>13910</v>
      </c>
      <c r="T16" s="215"/>
      <c r="U16" s="218">
        <f t="shared" si="11"/>
        <v>-1</v>
      </c>
      <c r="V16" s="216">
        <f t="shared" si="12"/>
        <v>0</v>
      </c>
      <c r="W16" s="216">
        <f t="shared" si="13"/>
        <v>0</v>
      </c>
      <c r="X16" s="216">
        <f t="shared" si="14"/>
        <v>0</v>
      </c>
      <c r="Y16" s="216">
        <f t="shared" si="15"/>
        <v>0</v>
      </c>
      <c r="Z16" s="216">
        <f t="shared" si="16"/>
        <v>0</v>
      </c>
      <c r="AA16" s="218">
        <f t="shared" si="17"/>
        <v>-1</v>
      </c>
      <c r="AQ16" s="39">
        <v>11</v>
      </c>
      <c r="AR16" s="38">
        <f t="shared" si="1"/>
        <v>271239</v>
      </c>
      <c r="AS16" s="38">
        <f>ROUNDDOWN($AP$5*$Y$5*$V$5,0)</f>
        <v>192148</v>
      </c>
      <c r="AT16" s="38">
        <f>ROUNDDOWN($AP$5*$Z$5*$V$5,0)</f>
        <v>6590</v>
      </c>
      <c r="AU16" s="38">
        <f>ROUNDDOWN($AP$5*$AA$5*$V$5,0)</f>
        <v>469977</v>
      </c>
      <c r="AV16" s="38">
        <f>ROUNDDOWN($AP$5*$AB$5*$V$5,0)</f>
        <v>78076</v>
      </c>
      <c r="AW16" s="112">
        <f>ROUNDDOWN($AP$5*$AC$5*$V$5,0)</f>
        <v>11660</v>
      </c>
      <c r="AX16" s="38">
        <f t="shared" si="2"/>
        <v>548053</v>
      </c>
      <c r="AZ16" s="105">
        <f t="shared" si="0"/>
        <v>463387</v>
      </c>
      <c r="BA16" s="103">
        <f>AR5+AR16</f>
        <v>295303</v>
      </c>
      <c r="BB16" s="101">
        <f>AS5+AS16</f>
        <v>209961</v>
      </c>
      <c r="BC16" s="101">
        <f>AT5+AT16</f>
        <v>7201</v>
      </c>
      <c r="BD16" s="111">
        <f>AW5+AW16</f>
        <v>12741</v>
      </c>
      <c r="BE16" s="101">
        <f>AU5+AU16</f>
        <v>513546</v>
      </c>
      <c r="BF16" s="101">
        <f>AV5+AV16</f>
        <v>85314</v>
      </c>
      <c r="BG16" s="101">
        <f t="shared" ref="BG16" si="19">AX5+AX16</f>
        <v>598860</v>
      </c>
      <c r="BH16" s="100" t="s">
        <v>86</v>
      </c>
    </row>
    <row r="17" spans="1:54">
      <c r="A17" s="54">
        <v>134</v>
      </c>
      <c r="B17" s="55">
        <v>134000</v>
      </c>
      <c r="C17" s="56">
        <f>IF(B17&gt;=算定ツール!$F$12,算定ツール!$F$12,B17)</f>
        <v>134000</v>
      </c>
      <c r="E17" s="202">
        <f t="shared" si="9"/>
        <v>7169</v>
      </c>
      <c r="F17" s="64">
        <f t="shared" si="3"/>
        <v>5078</v>
      </c>
      <c r="G17" s="64">
        <f t="shared" si="4"/>
        <v>174</v>
      </c>
      <c r="H17" s="64">
        <f t="shared" si="5"/>
        <v>12421</v>
      </c>
      <c r="I17" s="38">
        <f t="shared" si="6"/>
        <v>2063</v>
      </c>
      <c r="J17" s="109">
        <f t="shared" si="7"/>
        <v>308</v>
      </c>
      <c r="K17" s="203">
        <f t="shared" si="10"/>
        <v>14792</v>
      </c>
      <c r="M17" s="216">
        <v>7170</v>
      </c>
      <c r="N17" s="216">
        <v>5078</v>
      </c>
      <c r="O17" s="217">
        <v>174</v>
      </c>
      <c r="P17" s="216">
        <v>12421</v>
      </c>
      <c r="Q17" s="216">
        <v>2063</v>
      </c>
      <c r="R17" s="216">
        <v>308</v>
      </c>
      <c r="S17" s="216">
        <v>14793</v>
      </c>
      <c r="T17" s="215"/>
      <c r="U17" s="218">
        <f t="shared" si="11"/>
        <v>-1</v>
      </c>
      <c r="V17" s="216">
        <f t="shared" si="12"/>
        <v>0</v>
      </c>
      <c r="W17" s="216">
        <f t="shared" si="13"/>
        <v>0</v>
      </c>
      <c r="X17" s="216">
        <f t="shared" si="14"/>
        <v>0</v>
      </c>
      <c r="Y17" s="216">
        <f t="shared" si="15"/>
        <v>0</v>
      </c>
      <c r="Z17" s="216">
        <f t="shared" si="16"/>
        <v>0</v>
      </c>
      <c r="AA17" s="218">
        <f t="shared" si="17"/>
        <v>-1</v>
      </c>
      <c r="AQ17" s="39">
        <v>12</v>
      </c>
      <c r="AR17" s="38">
        <f t="shared" si="1"/>
        <v>295416</v>
      </c>
      <c r="AS17" s="38">
        <f>ROUNDDOWN($AP$5*$Y$5*$W$5,0)</f>
        <v>209276</v>
      </c>
      <c r="AT17" s="38">
        <f>ROUNDDOWN($AP$5*$Z$5*$W$5,0)</f>
        <v>7178</v>
      </c>
      <c r="AU17" s="38">
        <f>ROUNDDOWN($AP$5*$AA$5*$W$5,0)</f>
        <v>511870</v>
      </c>
      <c r="AV17" s="38">
        <f>ROUNDDOWN($AP$5*$AB$5*$W$5,0)</f>
        <v>85035</v>
      </c>
      <c r="AW17" s="112">
        <f>ROUNDDOWN($AP$5*$AC$5*$W$5,0)</f>
        <v>12700</v>
      </c>
      <c r="AX17" s="38">
        <f t="shared" si="2"/>
        <v>596905</v>
      </c>
      <c r="AZ17" s="105">
        <f t="shared" si="0"/>
        <v>504692</v>
      </c>
      <c r="BA17" s="241">
        <f>BA16+BB16</f>
        <v>505264</v>
      </c>
      <c r="BB17" s="242"/>
    </row>
    <row r="18" spans="1:54">
      <c r="A18" s="54">
        <v>142</v>
      </c>
      <c r="B18" s="55">
        <v>142000</v>
      </c>
      <c r="C18" s="56">
        <f>IF(B18&gt;=算定ツール!$F$12,算定ツール!$F$12,B18)</f>
        <v>142000</v>
      </c>
      <c r="E18" s="202">
        <f t="shared" si="9"/>
        <v>7598</v>
      </c>
      <c r="F18" s="64">
        <f t="shared" si="3"/>
        <v>5381</v>
      </c>
      <c r="G18" s="64">
        <f t="shared" si="4"/>
        <v>184</v>
      </c>
      <c r="H18" s="64">
        <f t="shared" si="5"/>
        <v>13163</v>
      </c>
      <c r="I18" s="38">
        <f t="shared" si="6"/>
        <v>2186</v>
      </c>
      <c r="J18" s="109">
        <f t="shared" si="7"/>
        <v>326</v>
      </c>
      <c r="K18" s="203">
        <f t="shared" si="10"/>
        <v>15675</v>
      </c>
      <c r="M18" s="216">
        <v>7599</v>
      </c>
      <c r="N18" s="216">
        <v>5381</v>
      </c>
      <c r="O18" s="217">
        <v>184</v>
      </c>
      <c r="P18" s="216">
        <v>13163</v>
      </c>
      <c r="Q18" s="216">
        <v>2186</v>
      </c>
      <c r="R18" s="216">
        <v>326</v>
      </c>
      <c r="S18" s="216">
        <v>15676</v>
      </c>
      <c r="T18" s="215"/>
      <c r="U18" s="218">
        <f t="shared" si="11"/>
        <v>-1</v>
      </c>
      <c r="V18" s="216">
        <f t="shared" si="12"/>
        <v>0</v>
      </c>
      <c r="W18" s="216">
        <f t="shared" si="13"/>
        <v>0</v>
      </c>
      <c r="X18" s="216">
        <f t="shared" si="14"/>
        <v>0</v>
      </c>
      <c r="Y18" s="216">
        <f t="shared" si="15"/>
        <v>0</v>
      </c>
      <c r="Z18" s="216">
        <f t="shared" si="16"/>
        <v>0</v>
      </c>
      <c r="AA18" s="218">
        <f t="shared" si="17"/>
        <v>-1</v>
      </c>
    </row>
    <row r="19" spans="1:54">
      <c r="A19" s="54">
        <v>150</v>
      </c>
      <c r="B19" s="55">
        <v>150000</v>
      </c>
      <c r="C19" s="56">
        <f>IF(B19&gt;=算定ツール!$F$12,算定ツール!$F$12,B19)</f>
        <v>150000</v>
      </c>
      <c r="E19" s="202">
        <f t="shared" si="9"/>
        <v>8025</v>
      </c>
      <c r="F19" s="64">
        <f t="shared" si="3"/>
        <v>5685</v>
      </c>
      <c r="G19" s="64">
        <f t="shared" si="4"/>
        <v>195</v>
      </c>
      <c r="H19" s="64">
        <f t="shared" si="5"/>
        <v>13905</v>
      </c>
      <c r="I19" s="38">
        <f t="shared" si="6"/>
        <v>2310</v>
      </c>
      <c r="J19" s="109">
        <f t="shared" si="7"/>
        <v>345</v>
      </c>
      <c r="K19" s="203">
        <f t="shared" si="10"/>
        <v>16560</v>
      </c>
      <c r="M19" s="216">
        <v>8025</v>
      </c>
      <c r="N19" s="216">
        <v>5685</v>
      </c>
      <c r="O19" s="216">
        <v>195</v>
      </c>
      <c r="P19" s="216">
        <v>13905</v>
      </c>
      <c r="Q19" s="216">
        <v>2310</v>
      </c>
      <c r="R19" s="216">
        <v>345</v>
      </c>
      <c r="S19" s="216">
        <v>16560</v>
      </c>
      <c r="T19" s="215"/>
      <c r="U19" s="216">
        <f t="shared" si="11"/>
        <v>0</v>
      </c>
      <c r="V19" s="216">
        <f t="shared" si="12"/>
        <v>0</v>
      </c>
      <c r="W19" s="216">
        <f t="shared" si="13"/>
        <v>0</v>
      </c>
      <c r="X19" s="216">
        <f t="shared" si="14"/>
        <v>0</v>
      </c>
      <c r="Y19" s="216">
        <f t="shared" si="15"/>
        <v>0</v>
      </c>
      <c r="Z19" s="216">
        <f t="shared" si="16"/>
        <v>0</v>
      </c>
      <c r="AA19" s="216">
        <f t="shared" si="17"/>
        <v>0</v>
      </c>
      <c r="AQ19" s="39" t="s">
        <v>46</v>
      </c>
      <c r="AR19" s="39" t="s">
        <v>47</v>
      </c>
      <c r="AS19" s="39"/>
      <c r="AT19" s="39"/>
      <c r="AU19" s="39"/>
      <c r="AV19" s="39"/>
      <c r="AW19" s="39"/>
      <c r="AX19" s="39"/>
      <c r="AY19" s="39" t="s">
        <v>83</v>
      </c>
      <c r="AZ19" s="39" t="s">
        <v>49</v>
      </c>
    </row>
    <row r="20" spans="1:54">
      <c r="A20" s="54">
        <v>160</v>
      </c>
      <c r="B20" s="55">
        <v>160000</v>
      </c>
      <c r="C20" s="56">
        <f>IF(B20&gt;=算定ツール!$F$12,算定ツール!$F$12,B20)</f>
        <v>160000</v>
      </c>
      <c r="E20" s="202">
        <f t="shared" si="9"/>
        <v>8560</v>
      </c>
      <c r="F20" s="64">
        <f t="shared" si="3"/>
        <v>6064</v>
      </c>
      <c r="G20" s="64">
        <f t="shared" si="4"/>
        <v>208</v>
      </c>
      <c r="H20" s="64">
        <f t="shared" si="5"/>
        <v>14832</v>
      </c>
      <c r="I20" s="38">
        <f t="shared" si="6"/>
        <v>2464</v>
      </c>
      <c r="J20" s="109">
        <f t="shared" si="7"/>
        <v>368</v>
      </c>
      <c r="K20" s="203">
        <f t="shared" si="10"/>
        <v>17664</v>
      </c>
      <c r="M20" s="216">
        <v>8560</v>
      </c>
      <c r="N20" s="216">
        <v>6064</v>
      </c>
      <c r="O20" s="216">
        <v>208</v>
      </c>
      <c r="P20" s="216">
        <v>14832</v>
      </c>
      <c r="Q20" s="216">
        <v>2464</v>
      </c>
      <c r="R20" s="216">
        <v>368</v>
      </c>
      <c r="S20" s="216">
        <v>17664</v>
      </c>
      <c r="T20" s="215"/>
      <c r="U20" s="216">
        <f t="shared" si="11"/>
        <v>0</v>
      </c>
      <c r="V20" s="216">
        <f t="shared" si="12"/>
        <v>0</v>
      </c>
      <c r="W20" s="216">
        <f t="shared" si="13"/>
        <v>0</v>
      </c>
      <c r="X20" s="216">
        <f t="shared" si="14"/>
        <v>0</v>
      </c>
      <c r="Y20" s="216">
        <f t="shared" si="15"/>
        <v>0</v>
      </c>
      <c r="Z20" s="216">
        <f t="shared" si="16"/>
        <v>0</v>
      </c>
      <c r="AA20" s="216">
        <f t="shared" si="17"/>
        <v>0</v>
      </c>
      <c r="AQ20" s="39">
        <v>1</v>
      </c>
      <c r="AR20" s="38">
        <f>AR$5+AR7</f>
        <v>74108</v>
      </c>
      <c r="AS20" s="38">
        <f t="shared" ref="AS20:AX20" si="20">AS$5+AS7</f>
        <v>53264</v>
      </c>
      <c r="AT20" s="38">
        <f>AT$5+AT7</f>
        <v>1827</v>
      </c>
      <c r="AU20" s="38">
        <f t="shared" si="20"/>
        <v>130280</v>
      </c>
      <c r="AV20" s="38">
        <f t="shared" si="20"/>
        <v>21643</v>
      </c>
      <c r="AW20" s="112">
        <f>AW$5+AW7</f>
        <v>3232</v>
      </c>
      <c r="AX20" s="38">
        <f t="shared" si="20"/>
        <v>151923</v>
      </c>
      <c r="AY20" s="39">
        <v>3</v>
      </c>
      <c r="AZ20" s="39">
        <v>2</v>
      </c>
    </row>
    <row r="21" spans="1:54">
      <c r="A21" s="54">
        <v>170</v>
      </c>
      <c r="B21" s="55">
        <v>170000</v>
      </c>
      <c r="C21" s="56">
        <f>IF(B21&gt;=算定ツール!$F$12,算定ツール!$F$12,B21)</f>
        <v>170000</v>
      </c>
      <c r="E21" s="202">
        <f t="shared" si="9"/>
        <v>9095</v>
      </c>
      <c r="F21" s="64">
        <f t="shared" si="3"/>
        <v>6443</v>
      </c>
      <c r="G21" s="64">
        <f t="shared" si="4"/>
        <v>221</v>
      </c>
      <c r="H21" s="64">
        <f t="shared" si="5"/>
        <v>15759</v>
      </c>
      <c r="I21" s="38">
        <f t="shared" si="6"/>
        <v>2618</v>
      </c>
      <c r="J21" s="109">
        <f t="shared" si="7"/>
        <v>391</v>
      </c>
      <c r="K21" s="203">
        <f t="shared" si="10"/>
        <v>18768</v>
      </c>
      <c r="M21" s="216">
        <v>9095</v>
      </c>
      <c r="N21" s="216">
        <v>6443</v>
      </c>
      <c r="O21" s="216">
        <v>221</v>
      </c>
      <c r="P21" s="216">
        <v>15759</v>
      </c>
      <c r="Q21" s="216">
        <v>2618</v>
      </c>
      <c r="R21" s="216">
        <v>391</v>
      </c>
      <c r="S21" s="216">
        <v>18768</v>
      </c>
      <c r="T21" s="215"/>
      <c r="U21" s="216">
        <f t="shared" si="11"/>
        <v>0</v>
      </c>
      <c r="V21" s="216">
        <f t="shared" si="12"/>
        <v>0</v>
      </c>
      <c r="W21" s="216">
        <f t="shared" si="13"/>
        <v>0</v>
      </c>
      <c r="X21" s="216">
        <f t="shared" si="14"/>
        <v>0</v>
      </c>
      <c r="Y21" s="216">
        <f t="shared" si="15"/>
        <v>0</v>
      </c>
      <c r="Z21" s="216">
        <f t="shared" si="16"/>
        <v>0</v>
      </c>
      <c r="AA21" s="216">
        <f t="shared" si="17"/>
        <v>0</v>
      </c>
      <c r="AQ21" s="39">
        <v>2</v>
      </c>
      <c r="AR21" s="38">
        <f>AR$5+AR6</f>
        <v>49127</v>
      </c>
      <c r="AS21" s="38">
        <f t="shared" ref="AS21:AX21" si="21">AS$5+AS6</f>
        <v>35567</v>
      </c>
      <c r="AT21" s="38">
        <f>AT$5+AT6</f>
        <v>1220</v>
      </c>
      <c r="AU21" s="38">
        <f t="shared" si="21"/>
        <v>86995</v>
      </c>
      <c r="AV21" s="38">
        <f t="shared" si="21"/>
        <v>14452</v>
      </c>
      <c r="AW21" s="112">
        <f>AW$5+AW6</f>
        <v>2158</v>
      </c>
      <c r="AX21" s="38">
        <f t="shared" si="21"/>
        <v>101447</v>
      </c>
      <c r="AY21" s="39">
        <v>3</v>
      </c>
      <c r="AZ21" s="39">
        <v>3</v>
      </c>
    </row>
    <row r="22" spans="1:54">
      <c r="A22" s="54">
        <v>180</v>
      </c>
      <c r="B22" s="55">
        <v>180000</v>
      </c>
      <c r="C22" s="56">
        <f>IF(B22&gt;=算定ツール!$F$12,算定ツール!$F$12,B22)</f>
        <v>180000</v>
      </c>
      <c r="E22" s="202">
        <f t="shared" si="9"/>
        <v>9630</v>
      </c>
      <c r="F22" s="64">
        <f t="shared" si="3"/>
        <v>6822</v>
      </c>
      <c r="G22" s="64">
        <f t="shared" si="4"/>
        <v>234</v>
      </c>
      <c r="H22" s="64">
        <f t="shared" si="5"/>
        <v>16686</v>
      </c>
      <c r="I22" s="38">
        <f t="shared" si="6"/>
        <v>2772</v>
      </c>
      <c r="J22" s="109">
        <f t="shared" si="7"/>
        <v>414</v>
      </c>
      <c r="K22" s="203">
        <f t="shared" si="10"/>
        <v>19872</v>
      </c>
      <c r="M22" s="216">
        <v>9630</v>
      </c>
      <c r="N22" s="216">
        <v>6822</v>
      </c>
      <c r="O22" s="216">
        <v>234</v>
      </c>
      <c r="P22" s="216">
        <v>16686</v>
      </c>
      <c r="Q22" s="216">
        <v>2772</v>
      </c>
      <c r="R22" s="216">
        <v>414</v>
      </c>
      <c r="S22" s="216">
        <v>19872</v>
      </c>
      <c r="T22" s="215"/>
      <c r="U22" s="216">
        <f t="shared" si="11"/>
        <v>0</v>
      </c>
      <c r="V22" s="216">
        <f t="shared" si="12"/>
        <v>0</v>
      </c>
      <c r="W22" s="216">
        <f t="shared" si="13"/>
        <v>0</v>
      </c>
      <c r="X22" s="216">
        <f t="shared" si="14"/>
        <v>0</v>
      </c>
      <c r="Y22" s="216">
        <f t="shared" si="15"/>
        <v>0</v>
      </c>
      <c r="Z22" s="216">
        <f t="shared" si="16"/>
        <v>0</v>
      </c>
      <c r="AA22" s="216">
        <f t="shared" si="17"/>
        <v>0</v>
      </c>
      <c r="AQ22" s="39">
        <v>3</v>
      </c>
      <c r="AR22" s="38">
        <f>AR$5+AR17</f>
        <v>319480</v>
      </c>
      <c r="AS22" s="38">
        <f t="shared" ref="AS22:AX22" si="22">AS5+AS17</f>
        <v>227089</v>
      </c>
      <c r="AT22" s="38">
        <f t="shared" si="22"/>
        <v>7789</v>
      </c>
      <c r="AU22" s="38">
        <f t="shared" si="22"/>
        <v>555439</v>
      </c>
      <c r="AV22" s="38">
        <f t="shared" si="22"/>
        <v>92273</v>
      </c>
      <c r="AW22" s="112">
        <f>AW5+AW17</f>
        <v>13781</v>
      </c>
      <c r="AX22" s="38">
        <f t="shared" si="22"/>
        <v>647712</v>
      </c>
      <c r="AY22" s="39" t="s">
        <v>48</v>
      </c>
      <c r="AZ22" s="39">
        <v>4</v>
      </c>
    </row>
    <row r="23" spans="1:54">
      <c r="A23" s="54">
        <v>190</v>
      </c>
      <c r="B23" s="55">
        <v>190000</v>
      </c>
      <c r="C23" s="56">
        <f>IF(B23&gt;=算定ツール!$F$12,算定ツール!$F$12,B23)</f>
        <v>190000</v>
      </c>
      <c r="E23" s="202">
        <f t="shared" si="9"/>
        <v>10165</v>
      </c>
      <c r="F23" s="64">
        <f t="shared" si="3"/>
        <v>7201</v>
      </c>
      <c r="G23" s="64">
        <f t="shared" si="4"/>
        <v>247</v>
      </c>
      <c r="H23" s="64">
        <f t="shared" si="5"/>
        <v>17613</v>
      </c>
      <c r="I23" s="38">
        <f t="shared" si="6"/>
        <v>2926</v>
      </c>
      <c r="J23" s="109">
        <f t="shared" si="7"/>
        <v>437</v>
      </c>
      <c r="K23" s="203">
        <f t="shared" si="10"/>
        <v>20976</v>
      </c>
      <c r="M23" s="216">
        <v>10165</v>
      </c>
      <c r="N23" s="216">
        <v>7201</v>
      </c>
      <c r="O23" s="216">
        <v>247</v>
      </c>
      <c r="P23" s="216">
        <v>17613</v>
      </c>
      <c r="Q23" s="216">
        <v>2926</v>
      </c>
      <c r="R23" s="216">
        <v>437</v>
      </c>
      <c r="S23" s="216">
        <v>20976</v>
      </c>
      <c r="T23" s="215"/>
      <c r="U23" s="216">
        <f t="shared" si="11"/>
        <v>0</v>
      </c>
      <c r="V23" s="216">
        <f t="shared" si="12"/>
        <v>0</v>
      </c>
      <c r="W23" s="216">
        <f t="shared" si="13"/>
        <v>0</v>
      </c>
      <c r="X23" s="216">
        <f t="shared" si="14"/>
        <v>0</v>
      </c>
      <c r="Y23" s="216">
        <f t="shared" si="15"/>
        <v>0</v>
      </c>
      <c r="Z23" s="216">
        <f t="shared" si="16"/>
        <v>0</v>
      </c>
      <c r="AA23" s="216">
        <f t="shared" si="17"/>
        <v>0</v>
      </c>
      <c r="AQ23" s="39">
        <v>4</v>
      </c>
      <c r="AR23" s="38">
        <f>AR$5+AR16</f>
        <v>295303</v>
      </c>
      <c r="AS23" s="38">
        <f t="shared" ref="AS23:AX23" si="23">AS$5+AS16</f>
        <v>209961</v>
      </c>
      <c r="AT23" s="38">
        <f t="shared" si="23"/>
        <v>7201</v>
      </c>
      <c r="AU23" s="38">
        <f t="shared" si="23"/>
        <v>513546</v>
      </c>
      <c r="AV23" s="38">
        <f t="shared" si="23"/>
        <v>85314</v>
      </c>
      <c r="AW23" s="112">
        <f>AW$5+AW16</f>
        <v>12741</v>
      </c>
      <c r="AX23" s="38">
        <f t="shared" si="23"/>
        <v>598860</v>
      </c>
      <c r="AY23" s="39">
        <v>3</v>
      </c>
      <c r="AZ23" s="39">
        <v>5</v>
      </c>
    </row>
    <row r="24" spans="1:54">
      <c r="A24" s="54">
        <v>200</v>
      </c>
      <c r="B24" s="55">
        <v>200000</v>
      </c>
      <c r="C24" s="56">
        <f>IF(B24&gt;=算定ツール!$F$12,算定ツール!$F$12,B24)</f>
        <v>200000</v>
      </c>
      <c r="E24" s="202">
        <f t="shared" si="9"/>
        <v>10700</v>
      </c>
      <c r="F24" s="64">
        <f t="shared" si="3"/>
        <v>7580</v>
      </c>
      <c r="G24" s="64">
        <f t="shared" si="4"/>
        <v>260</v>
      </c>
      <c r="H24" s="64">
        <f t="shared" si="5"/>
        <v>18540</v>
      </c>
      <c r="I24" s="38">
        <f t="shared" si="6"/>
        <v>3080</v>
      </c>
      <c r="J24" s="109">
        <f t="shared" si="7"/>
        <v>460</v>
      </c>
      <c r="K24" s="203">
        <f t="shared" si="10"/>
        <v>22080</v>
      </c>
      <c r="M24" s="216">
        <v>10700</v>
      </c>
      <c r="N24" s="216">
        <v>7580</v>
      </c>
      <c r="O24" s="216">
        <v>260</v>
      </c>
      <c r="P24" s="216">
        <v>18540</v>
      </c>
      <c r="Q24" s="216">
        <v>3080</v>
      </c>
      <c r="R24" s="216">
        <v>460</v>
      </c>
      <c r="S24" s="216">
        <v>22080</v>
      </c>
      <c r="T24" s="215"/>
      <c r="U24" s="216">
        <f t="shared" si="11"/>
        <v>0</v>
      </c>
      <c r="V24" s="216">
        <f t="shared" si="12"/>
        <v>0</v>
      </c>
      <c r="W24" s="216">
        <f t="shared" si="13"/>
        <v>0</v>
      </c>
      <c r="X24" s="216">
        <f t="shared" si="14"/>
        <v>0</v>
      </c>
      <c r="Y24" s="216">
        <f t="shared" si="15"/>
        <v>0</v>
      </c>
      <c r="Z24" s="216">
        <f t="shared" si="16"/>
        <v>0</v>
      </c>
      <c r="AA24" s="216">
        <f t="shared" si="17"/>
        <v>0</v>
      </c>
      <c r="AQ24" s="39">
        <v>5</v>
      </c>
      <c r="AR24" s="38">
        <f>AR$5+AR15</f>
        <v>271045</v>
      </c>
      <c r="AS24" s="38">
        <f t="shared" ref="AS24:AX24" si="24">AS$5+AS15</f>
        <v>192777</v>
      </c>
      <c r="AT24" s="38">
        <f t="shared" si="24"/>
        <v>6612</v>
      </c>
      <c r="AU24" s="38">
        <f t="shared" si="24"/>
        <v>471515</v>
      </c>
      <c r="AV24" s="38">
        <f t="shared" si="24"/>
        <v>78331</v>
      </c>
      <c r="AW24" s="112">
        <f>AW$5+AW15</f>
        <v>11698</v>
      </c>
      <c r="AX24" s="38">
        <f t="shared" si="24"/>
        <v>549846</v>
      </c>
      <c r="AY24" s="39">
        <v>3</v>
      </c>
      <c r="AZ24" s="39">
        <v>6</v>
      </c>
    </row>
    <row r="25" spans="1:54">
      <c r="A25" s="54">
        <v>220</v>
      </c>
      <c r="B25" s="55">
        <v>220000</v>
      </c>
      <c r="C25" s="56">
        <f>IF(B25&gt;=算定ツール!$F$12,算定ツール!$F$12,B25)</f>
        <v>220000</v>
      </c>
      <c r="E25" s="202">
        <f t="shared" si="9"/>
        <v>11770</v>
      </c>
      <c r="F25" s="64">
        <f t="shared" si="3"/>
        <v>8338</v>
      </c>
      <c r="G25" s="64">
        <f t="shared" si="4"/>
        <v>286</v>
      </c>
      <c r="H25" s="64">
        <f t="shared" si="5"/>
        <v>20394</v>
      </c>
      <c r="I25" s="38">
        <f t="shared" si="6"/>
        <v>3388</v>
      </c>
      <c r="J25" s="109">
        <f t="shared" si="7"/>
        <v>506</v>
      </c>
      <c r="K25" s="203">
        <f t="shared" si="10"/>
        <v>24288</v>
      </c>
      <c r="M25" s="216">
        <v>11770</v>
      </c>
      <c r="N25" s="216">
        <v>8338</v>
      </c>
      <c r="O25" s="216">
        <v>286</v>
      </c>
      <c r="P25" s="216">
        <v>20394</v>
      </c>
      <c r="Q25" s="216">
        <v>3388</v>
      </c>
      <c r="R25" s="216">
        <v>506</v>
      </c>
      <c r="S25" s="216">
        <v>24288</v>
      </c>
      <c r="T25" s="215"/>
      <c r="U25" s="216">
        <f t="shared" si="11"/>
        <v>0</v>
      </c>
      <c r="V25" s="216">
        <f t="shared" si="12"/>
        <v>0</v>
      </c>
      <c r="W25" s="216">
        <f t="shared" si="13"/>
        <v>0</v>
      </c>
      <c r="X25" s="216">
        <f t="shared" si="14"/>
        <v>0</v>
      </c>
      <c r="Y25" s="216">
        <f t="shared" si="15"/>
        <v>0</v>
      </c>
      <c r="Z25" s="216">
        <f t="shared" si="16"/>
        <v>0</v>
      </c>
      <c r="AA25" s="216">
        <f t="shared" si="17"/>
        <v>0</v>
      </c>
      <c r="AQ25" s="39">
        <v>6</v>
      </c>
      <c r="AR25" s="38">
        <f>AR$5+AR14</f>
        <v>246708</v>
      </c>
      <c r="AS25" s="38">
        <f t="shared" ref="AS25:AX25" si="25">AS$5+AS14</f>
        <v>175537</v>
      </c>
      <c r="AT25" s="38">
        <f t="shared" si="25"/>
        <v>6021</v>
      </c>
      <c r="AU25" s="38">
        <f t="shared" si="25"/>
        <v>429347</v>
      </c>
      <c r="AV25" s="38">
        <f t="shared" si="25"/>
        <v>71326</v>
      </c>
      <c r="AW25" s="112">
        <f>AW$5+AW14</f>
        <v>10652</v>
      </c>
      <c r="AX25" s="38">
        <f t="shared" si="25"/>
        <v>500673</v>
      </c>
      <c r="AY25" s="39">
        <v>3</v>
      </c>
      <c r="AZ25" s="39">
        <v>7</v>
      </c>
    </row>
    <row r="26" spans="1:54">
      <c r="A26" s="57">
        <v>240</v>
      </c>
      <c r="B26" s="55">
        <v>240000</v>
      </c>
      <c r="C26" s="56">
        <f>IF(B26&gt;=算定ツール!$F$12,算定ツール!$F$12,B26)</f>
        <v>240000</v>
      </c>
      <c r="E26" s="202">
        <f t="shared" si="9"/>
        <v>12840</v>
      </c>
      <c r="F26" s="64">
        <f t="shared" si="3"/>
        <v>9096</v>
      </c>
      <c r="G26" s="64">
        <f t="shared" si="4"/>
        <v>312</v>
      </c>
      <c r="H26" s="64">
        <f t="shared" si="5"/>
        <v>22248</v>
      </c>
      <c r="I26" s="38">
        <f t="shared" si="6"/>
        <v>3696</v>
      </c>
      <c r="J26" s="109">
        <f t="shared" si="7"/>
        <v>552</v>
      </c>
      <c r="K26" s="203">
        <f t="shared" si="10"/>
        <v>26496</v>
      </c>
      <c r="M26" s="216">
        <v>12840</v>
      </c>
      <c r="N26" s="216">
        <v>9096</v>
      </c>
      <c r="O26" s="216">
        <v>312</v>
      </c>
      <c r="P26" s="216">
        <v>22248</v>
      </c>
      <c r="Q26" s="216">
        <v>3696</v>
      </c>
      <c r="R26" s="216">
        <v>552</v>
      </c>
      <c r="S26" s="216">
        <v>26496</v>
      </c>
      <c r="T26" s="215"/>
      <c r="U26" s="216">
        <f t="shared" si="11"/>
        <v>0</v>
      </c>
      <c r="V26" s="216">
        <f t="shared" si="12"/>
        <v>0</v>
      </c>
      <c r="W26" s="216">
        <f t="shared" si="13"/>
        <v>0</v>
      </c>
      <c r="X26" s="216">
        <f t="shared" si="14"/>
        <v>0</v>
      </c>
      <c r="Y26" s="216">
        <f t="shared" si="15"/>
        <v>0</v>
      </c>
      <c r="Z26" s="216">
        <f t="shared" si="16"/>
        <v>0</v>
      </c>
      <c r="AA26" s="216">
        <f t="shared" si="17"/>
        <v>0</v>
      </c>
      <c r="AQ26" s="39">
        <v>7</v>
      </c>
      <c r="AR26" s="38">
        <f>AR$5+AR13</f>
        <v>222293</v>
      </c>
      <c r="AS26" s="38">
        <f t="shared" ref="AS26:AX26" si="26">AS$5+AS13</f>
        <v>158240</v>
      </c>
      <c r="AT26" s="38">
        <f t="shared" si="26"/>
        <v>5427</v>
      </c>
      <c r="AU26" s="38">
        <f t="shared" si="26"/>
        <v>387041</v>
      </c>
      <c r="AV26" s="38">
        <f t="shared" si="26"/>
        <v>64298</v>
      </c>
      <c r="AW26" s="112">
        <f>AW$5+AW13</f>
        <v>9602</v>
      </c>
      <c r="AX26" s="38">
        <f t="shared" si="26"/>
        <v>451339</v>
      </c>
      <c r="AY26" s="39">
        <v>3</v>
      </c>
      <c r="AZ26" s="39">
        <v>8</v>
      </c>
    </row>
    <row r="27" spans="1:54">
      <c r="A27" s="54">
        <v>260</v>
      </c>
      <c r="B27" s="55">
        <v>260000</v>
      </c>
      <c r="C27" s="56">
        <f>IF(B27&gt;=算定ツール!$F$12,算定ツール!$F$12,B27)</f>
        <v>260000</v>
      </c>
      <c r="E27" s="202">
        <f t="shared" si="9"/>
        <v>13910</v>
      </c>
      <c r="F27" s="64">
        <f t="shared" si="3"/>
        <v>9854</v>
      </c>
      <c r="G27" s="64">
        <f t="shared" si="4"/>
        <v>338</v>
      </c>
      <c r="H27" s="64">
        <f t="shared" si="5"/>
        <v>24102</v>
      </c>
      <c r="I27" s="38">
        <f t="shared" si="6"/>
        <v>4004</v>
      </c>
      <c r="J27" s="109">
        <f t="shared" si="7"/>
        <v>598</v>
      </c>
      <c r="K27" s="203">
        <f t="shared" si="10"/>
        <v>28704</v>
      </c>
      <c r="M27" s="216">
        <v>13910</v>
      </c>
      <c r="N27" s="216">
        <v>9854</v>
      </c>
      <c r="O27" s="216">
        <v>338</v>
      </c>
      <c r="P27" s="216">
        <v>24102</v>
      </c>
      <c r="Q27" s="216">
        <v>4004</v>
      </c>
      <c r="R27" s="216">
        <v>598</v>
      </c>
      <c r="S27" s="216">
        <v>28704</v>
      </c>
      <c r="T27" s="215"/>
      <c r="U27" s="216">
        <f t="shared" si="11"/>
        <v>0</v>
      </c>
      <c r="V27" s="216">
        <f t="shared" si="12"/>
        <v>0</v>
      </c>
      <c r="W27" s="216">
        <f t="shared" si="13"/>
        <v>0</v>
      </c>
      <c r="X27" s="216">
        <f t="shared" si="14"/>
        <v>0</v>
      </c>
      <c r="Y27" s="216">
        <f t="shared" si="15"/>
        <v>0</v>
      </c>
      <c r="Z27" s="216">
        <f t="shared" si="16"/>
        <v>0</v>
      </c>
      <c r="AA27" s="216">
        <f t="shared" si="17"/>
        <v>0</v>
      </c>
      <c r="AQ27" s="39">
        <v>8</v>
      </c>
      <c r="AR27" s="38">
        <f>AR$5+AR12</f>
        <v>197797</v>
      </c>
      <c r="AS27" s="38">
        <f t="shared" ref="AS27:AX27" si="27">AS$5+AS12</f>
        <v>140887</v>
      </c>
      <c r="AT27" s="38">
        <f t="shared" si="27"/>
        <v>4832</v>
      </c>
      <c r="AU27" s="38">
        <f t="shared" si="27"/>
        <v>344597</v>
      </c>
      <c r="AV27" s="38">
        <f t="shared" si="27"/>
        <v>57246</v>
      </c>
      <c r="AW27" s="112">
        <f>AW$5+AW12</f>
        <v>8549</v>
      </c>
      <c r="AX27" s="38">
        <f t="shared" si="27"/>
        <v>401843</v>
      </c>
      <c r="AY27" s="39">
        <v>3</v>
      </c>
      <c r="AZ27" s="39">
        <v>9</v>
      </c>
    </row>
    <row r="28" spans="1:54">
      <c r="A28" s="54">
        <v>280</v>
      </c>
      <c r="B28" s="55">
        <v>280000</v>
      </c>
      <c r="C28" s="56">
        <f>IF(B28&gt;=算定ツール!$F$12,算定ツール!$F$12,B28)</f>
        <v>280000</v>
      </c>
      <c r="E28" s="202">
        <f t="shared" si="9"/>
        <v>14980</v>
      </c>
      <c r="F28" s="64">
        <f t="shared" si="3"/>
        <v>10612</v>
      </c>
      <c r="G28" s="64">
        <f t="shared" si="4"/>
        <v>364</v>
      </c>
      <c r="H28" s="64">
        <f t="shared" si="5"/>
        <v>25956</v>
      </c>
      <c r="I28" s="38">
        <f t="shared" si="6"/>
        <v>4312</v>
      </c>
      <c r="J28" s="109">
        <f t="shared" si="7"/>
        <v>644</v>
      </c>
      <c r="K28" s="203">
        <f t="shared" si="10"/>
        <v>30912</v>
      </c>
      <c r="M28" s="216">
        <v>14980</v>
      </c>
      <c r="N28" s="216">
        <v>10612</v>
      </c>
      <c r="O28" s="216">
        <v>364</v>
      </c>
      <c r="P28" s="216">
        <v>25956</v>
      </c>
      <c r="Q28" s="216">
        <v>4312</v>
      </c>
      <c r="R28" s="216">
        <v>644</v>
      </c>
      <c r="S28" s="216">
        <v>30912</v>
      </c>
      <c r="T28" s="215"/>
      <c r="U28" s="216">
        <f t="shared" si="11"/>
        <v>0</v>
      </c>
      <c r="V28" s="216">
        <f t="shared" si="12"/>
        <v>0</v>
      </c>
      <c r="W28" s="216">
        <f t="shared" si="13"/>
        <v>0</v>
      </c>
      <c r="X28" s="216">
        <f t="shared" si="14"/>
        <v>0</v>
      </c>
      <c r="Y28" s="216">
        <f t="shared" si="15"/>
        <v>0</v>
      </c>
      <c r="Z28" s="216">
        <f t="shared" si="16"/>
        <v>0</v>
      </c>
      <c r="AA28" s="216">
        <f t="shared" si="17"/>
        <v>0</v>
      </c>
      <c r="AQ28" s="39">
        <v>9</v>
      </c>
      <c r="AR28" s="38">
        <f>AR$5+AR11</f>
        <v>173221</v>
      </c>
      <c r="AS28" s="38">
        <f t="shared" ref="AS28:AX28" si="28">AS$5+AS11</f>
        <v>123476</v>
      </c>
      <c r="AT28" s="38">
        <f t="shared" si="28"/>
        <v>4235</v>
      </c>
      <c r="AU28" s="38">
        <f t="shared" si="28"/>
        <v>302013</v>
      </c>
      <c r="AV28" s="38">
        <f t="shared" si="28"/>
        <v>50172</v>
      </c>
      <c r="AW28" s="112">
        <f>AW$5+AW11</f>
        <v>7493</v>
      </c>
      <c r="AX28" s="38">
        <f t="shared" si="28"/>
        <v>352185</v>
      </c>
      <c r="AY28" s="39">
        <v>3</v>
      </c>
      <c r="AZ28" s="39">
        <v>10</v>
      </c>
    </row>
    <row r="29" spans="1:54">
      <c r="A29" s="54">
        <v>300</v>
      </c>
      <c r="B29" s="55">
        <v>300000</v>
      </c>
      <c r="C29" s="56">
        <f>IF(B29&gt;=算定ツール!$F$12,算定ツール!$F$12,B29)</f>
        <v>300000</v>
      </c>
      <c r="E29" s="202">
        <f t="shared" si="9"/>
        <v>16050</v>
      </c>
      <c r="F29" s="64">
        <f t="shared" si="3"/>
        <v>11370</v>
      </c>
      <c r="G29" s="64">
        <f t="shared" si="4"/>
        <v>390</v>
      </c>
      <c r="H29" s="64">
        <f t="shared" si="5"/>
        <v>27810</v>
      </c>
      <c r="I29" s="38">
        <f t="shared" si="6"/>
        <v>4620</v>
      </c>
      <c r="J29" s="109">
        <f t="shared" si="7"/>
        <v>690</v>
      </c>
      <c r="K29" s="203">
        <f t="shared" si="10"/>
        <v>33120</v>
      </c>
      <c r="M29" s="216">
        <v>16050</v>
      </c>
      <c r="N29" s="216">
        <v>11370</v>
      </c>
      <c r="O29" s="216">
        <v>390</v>
      </c>
      <c r="P29" s="216">
        <v>27810</v>
      </c>
      <c r="Q29" s="216">
        <v>4620</v>
      </c>
      <c r="R29" s="216">
        <v>690</v>
      </c>
      <c r="S29" s="216">
        <v>33120</v>
      </c>
      <c r="T29" s="215"/>
      <c r="U29" s="216">
        <f t="shared" si="11"/>
        <v>0</v>
      </c>
      <c r="V29" s="216">
        <f t="shared" si="12"/>
        <v>0</v>
      </c>
      <c r="W29" s="216">
        <f t="shared" si="13"/>
        <v>0</v>
      </c>
      <c r="X29" s="216">
        <f t="shared" si="14"/>
        <v>0</v>
      </c>
      <c r="Y29" s="216">
        <f t="shared" si="15"/>
        <v>0</v>
      </c>
      <c r="Z29" s="216">
        <f t="shared" si="16"/>
        <v>0</v>
      </c>
      <c r="AA29" s="216">
        <f t="shared" si="17"/>
        <v>0</v>
      </c>
      <c r="AQ29" s="39">
        <v>10</v>
      </c>
      <c r="AR29" s="38">
        <f>AR$5+AR10</f>
        <v>148564</v>
      </c>
      <c r="AS29" s="38">
        <f t="shared" ref="AS29:AX29" si="29">AS$5+AS10</f>
        <v>106009</v>
      </c>
      <c r="AT29" s="38">
        <f t="shared" si="29"/>
        <v>3636</v>
      </c>
      <c r="AU29" s="38">
        <f t="shared" si="29"/>
        <v>259290</v>
      </c>
      <c r="AV29" s="38">
        <f t="shared" si="29"/>
        <v>43075</v>
      </c>
      <c r="AW29" s="112">
        <f>AW$5+AW10</f>
        <v>6433</v>
      </c>
      <c r="AX29" s="38">
        <f t="shared" si="29"/>
        <v>302365</v>
      </c>
      <c r="AY29" s="39">
        <v>3</v>
      </c>
      <c r="AZ29" s="39">
        <v>11</v>
      </c>
    </row>
    <row r="30" spans="1:54">
      <c r="A30" s="54">
        <v>320</v>
      </c>
      <c r="B30" s="55">
        <v>320000</v>
      </c>
      <c r="C30" s="56">
        <f>IF(B30&gt;=算定ツール!$F$12,算定ツール!$F$12,B30)</f>
        <v>320000</v>
      </c>
      <c r="E30" s="202">
        <f t="shared" si="9"/>
        <v>17120</v>
      </c>
      <c r="F30" s="64">
        <f t="shared" si="3"/>
        <v>12128</v>
      </c>
      <c r="G30" s="64">
        <f t="shared" si="4"/>
        <v>416</v>
      </c>
      <c r="H30" s="64">
        <f t="shared" si="5"/>
        <v>29664</v>
      </c>
      <c r="I30" s="38">
        <f t="shared" si="6"/>
        <v>4928</v>
      </c>
      <c r="J30" s="109">
        <f t="shared" si="7"/>
        <v>736</v>
      </c>
      <c r="K30" s="203">
        <f t="shared" si="10"/>
        <v>35328</v>
      </c>
      <c r="M30" s="216">
        <v>17120</v>
      </c>
      <c r="N30" s="216">
        <v>12128</v>
      </c>
      <c r="O30" s="216">
        <v>416</v>
      </c>
      <c r="P30" s="216">
        <v>29664</v>
      </c>
      <c r="Q30" s="216">
        <v>4928</v>
      </c>
      <c r="R30" s="216">
        <v>736</v>
      </c>
      <c r="S30" s="216">
        <v>35328</v>
      </c>
      <c r="T30" s="215"/>
      <c r="U30" s="216">
        <f t="shared" si="11"/>
        <v>0</v>
      </c>
      <c r="V30" s="216">
        <f t="shared" si="12"/>
        <v>0</v>
      </c>
      <c r="W30" s="216">
        <f t="shared" si="13"/>
        <v>0</v>
      </c>
      <c r="X30" s="216">
        <f t="shared" si="14"/>
        <v>0</v>
      </c>
      <c r="Y30" s="216">
        <f t="shared" si="15"/>
        <v>0</v>
      </c>
      <c r="Z30" s="216">
        <f t="shared" si="16"/>
        <v>0</v>
      </c>
      <c r="AA30" s="216">
        <f t="shared" si="17"/>
        <v>0</v>
      </c>
      <c r="AQ30" s="39">
        <v>11</v>
      </c>
      <c r="AR30" s="38">
        <f>AR$5+AR9</f>
        <v>123826</v>
      </c>
      <c r="AS30" s="38">
        <f t="shared" ref="AS30:AX30" si="30">AS$5+AS9</f>
        <v>88485</v>
      </c>
      <c r="AT30" s="38">
        <f t="shared" si="30"/>
        <v>3035</v>
      </c>
      <c r="AU30" s="38">
        <f t="shared" si="30"/>
        <v>216427</v>
      </c>
      <c r="AV30" s="38">
        <f t="shared" si="30"/>
        <v>35954</v>
      </c>
      <c r="AW30" s="112">
        <f>AW$5+AW9</f>
        <v>5369</v>
      </c>
      <c r="AX30" s="38">
        <f t="shared" si="30"/>
        <v>252381</v>
      </c>
      <c r="AY30" s="39">
        <v>3</v>
      </c>
      <c r="AZ30" s="39">
        <v>12</v>
      </c>
    </row>
    <row r="31" spans="1:54">
      <c r="A31" s="54">
        <v>340</v>
      </c>
      <c r="B31" s="55">
        <v>340000</v>
      </c>
      <c r="C31" s="56">
        <f>IF(B31&gt;=算定ツール!$F$12,算定ツール!$F$12,B31)</f>
        <v>340000</v>
      </c>
      <c r="E31" s="202">
        <f t="shared" si="9"/>
        <v>18190</v>
      </c>
      <c r="F31" s="64">
        <f t="shared" si="3"/>
        <v>12886</v>
      </c>
      <c r="G31" s="64">
        <f t="shared" si="4"/>
        <v>442</v>
      </c>
      <c r="H31" s="64">
        <f t="shared" si="5"/>
        <v>31518</v>
      </c>
      <c r="I31" s="38">
        <f t="shared" si="6"/>
        <v>5236</v>
      </c>
      <c r="J31" s="109">
        <f t="shared" si="7"/>
        <v>782</v>
      </c>
      <c r="K31" s="203">
        <f t="shared" si="10"/>
        <v>37536</v>
      </c>
      <c r="M31" s="216">
        <v>18190</v>
      </c>
      <c r="N31" s="216">
        <v>12886</v>
      </c>
      <c r="O31" s="216">
        <v>442</v>
      </c>
      <c r="P31" s="216">
        <v>31518</v>
      </c>
      <c r="Q31" s="216">
        <v>5236</v>
      </c>
      <c r="R31" s="216">
        <v>782</v>
      </c>
      <c r="S31" s="216">
        <v>37536</v>
      </c>
      <c r="T31" s="215"/>
      <c r="U31" s="216">
        <f t="shared" si="11"/>
        <v>0</v>
      </c>
      <c r="V31" s="216">
        <f t="shared" si="12"/>
        <v>0</v>
      </c>
      <c r="W31" s="216">
        <f t="shared" si="13"/>
        <v>0</v>
      </c>
      <c r="X31" s="216">
        <f t="shared" si="14"/>
        <v>0</v>
      </c>
      <c r="Y31" s="216">
        <f t="shared" si="15"/>
        <v>0</v>
      </c>
      <c r="Z31" s="216">
        <f t="shared" si="16"/>
        <v>0</v>
      </c>
      <c r="AA31" s="216">
        <f t="shared" si="17"/>
        <v>0</v>
      </c>
      <c r="AQ31" s="39">
        <v>12</v>
      </c>
      <c r="AR31" s="38">
        <f>AR$5+AR8</f>
        <v>99007</v>
      </c>
      <c r="AS31" s="38">
        <f t="shared" ref="AS31:AX31" si="31">AS$5+AS8</f>
        <v>70904</v>
      </c>
      <c r="AT31" s="38">
        <f t="shared" si="31"/>
        <v>2432</v>
      </c>
      <c r="AU31" s="38">
        <f t="shared" si="31"/>
        <v>173424</v>
      </c>
      <c r="AV31" s="38">
        <f t="shared" si="31"/>
        <v>28810</v>
      </c>
      <c r="AW31" s="112">
        <f>AW$5+AW8</f>
        <v>4302</v>
      </c>
      <c r="AX31" s="38">
        <f t="shared" si="31"/>
        <v>202234</v>
      </c>
      <c r="AY31" s="39">
        <v>3</v>
      </c>
      <c r="AZ31" s="39">
        <v>1</v>
      </c>
    </row>
    <row r="32" spans="1:54">
      <c r="A32" s="54">
        <v>360</v>
      </c>
      <c r="B32" s="55">
        <v>360000</v>
      </c>
      <c r="C32" s="56">
        <f>IF(B32&gt;=算定ツール!$F$12,算定ツール!$F$12,B32)</f>
        <v>360000</v>
      </c>
      <c r="E32" s="202">
        <f t="shared" si="9"/>
        <v>19260</v>
      </c>
      <c r="F32" s="64">
        <f t="shared" si="3"/>
        <v>13644</v>
      </c>
      <c r="G32" s="64">
        <f t="shared" si="4"/>
        <v>468</v>
      </c>
      <c r="H32" s="64">
        <f t="shared" si="5"/>
        <v>33372</v>
      </c>
      <c r="I32" s="38">
        <f t="shared" si="6"/>
        <v>5544</v>
      </c>
      <c r="J32" s="109">
        <f t="shared" si="7"/>
        <v>828</v>
      </c>
      <c r="K32" s="203">
        <f t="shared" si="10"/>
        <v>39744</v>
      </c>
      <c r="M32" s="216">
        <v>19260</v>
      </c>
      <c r="N32" s="216">
        <v>13644</v>
      </c>
      <c r="O32" s="216">
        <v>468</v>
      </c>
      <c r="P32" s="216">
        <v>33372</v>
      </c>
      <c r="Q32" s="216">
        <v>5544</v>
      </c>
      <c r="R32" s="216">
        <v>828</v>
      </c>
      <c r="S32" s="216">
        <v>39744</v>
      </c>
      <c r="T32" s="215"/>
      <c r="U32" s="216">
        <f t="shared" si="11"/>
        <v>0</v>
      </c>
      <c r="V32" s="216">
        <f t="shared" si="12"/>
        <v>0</v>
      </c>
      <c r="W32" s="216">
        <f t="shared" si="13"/>
        <v>0</v>
      </c>
      <c r="X32" s="216">
        <f t="shared" si="14"/>
        <v>0</v>
      </c>
      <c r="Y32" s="216">
        <f t="shared" si="15"/>
        <v>0</v>
      </c>
      <c r="Z32" s="216">
        <f t="shared" si="16"/>
        <v>0</v>
      </c>
      <c r="AA32" s="216">
        <f t="shared" si="17"/>
        <v>0</v>
      </c>
      <c r="AW32" s="107"/>
    </row>
    <row r="33" spans="1:51">
      <c r="A33" s="54">
        <v>380</v>
      </c>
      <c r="B33" s="55">
        <v>380000</v>
      </c>
      <c r="C33" s="56">
        <f>IF(B33&gt;=算定ツール!$F$12,算定ツール!$F$12,B33)</f>
        <v>380000</v>
      </c>
      <c r="E33" s="202">
        <f t="shared" si="9"/>
        <v>20330</v>
      </c>
      <c r="F33" s="64">
        <f t="shared" si="3"/>
        <v>14402</v>
      </c>
      <c r="G33" s="64">
        <f t="shared" si="4"/>
        <v>494</v>
      </c>
      <c r="H33" s="64">
        <f t="shared" si="5"/>
        <v>35226</v>
      </c>
      <c r="I33" s="38">
        <f t="shared" si="6"/>
        <v>5852</v>
      </c>
      <c r="J33" s="109">
        <f t="shared" si="7"/>
        <v>874</v>
      </c>
      <c r="K33" s="203">
        <f t="shared" si="10"/>
        <v>41952</v>
      </c>
      <c r="M33" s="216">
        <v>20330</v>
      </c>
      <c r="N33" s="216">
        <v>14402</v>
      </c>
      <c r="O33" s="216">
        <v>494</v>
      </c>
      <c r="P33" s="216">
        <v>35226</v>
      </c>
      <c r="Q33" s="216">
        <v>5852</v>
      </c>
      <c r="R33" s="216">
        <v>874</v>
      </c>
      <c r="S33" s="216">
        <v>41952</v>
      </c>
      <c r="T33" s="215"/>
      <c r="U33" s="216">
        <f t="shared" si="11"/>
        <v>0</v>
      </c>
      <c r="V33" s="216">
        <f t="shared" si="12"/>
        <v>0</v>
      </c>
      <c r="W33" s="216">
        <f t="shared" si="13"/>
        <v>0</v>
      </c>
      <c r="X33" s="216">
        <f t="shared" si="14"/>
        <v>0</v>
      </c>
      <c r="Y33" s="216">
        <f t="shared" si="15"/>
        <v>0</v>
      </c>
      <c r="Z33" s="216">
        <f t="shared" si="16"/>
        <v>0</v>
      </c>
      <c r="AA33" s="216">
        <f t="shared" si="17"/>
        <v>0</v>
      </c>
      <c r="AQ33" s="39" t="s">
        <v>46</v>
      </c>
      <c r="AR33" s="39" t="s">
        <v>38</v>
      </c>
      <c r="AS33" s="39"/>
      <c r="AT33" s="39"/>
      <c r="AU33" s="39"/>
      <c r="AV33" s="39"/>
      <c r="AW33" s="113"/>
      <c r="AX33" s="39"/>
      <c r="AY33" s="39" t="s">
        <v>84</v>
      </c>
    </row>
    <row r="34" spans="1:51">
      <c r="A34" s="54">
        <v>410</v>
      </c>
      <c r="B34" s="55">
        <v>410000</v>
      </c>
      <c r="C34" s="56">
        <f>IF(B34&gt;=算定ツール!$F$12,算定ツール!$F$12,B34)</f>
        <v>410000</v>
      </c>
      <c r="E34" s="202">
        <f t="shared" si="9"/>
        <v>21935</v>
      </c>
      <c r="F34" s="64">
        <f t="shared" si="3"/>
        <v>15539</v>
      </c>
      <c r="G34" s="64">
        <f t="shared" si="4"/>
        <v>533</v>
      </c>
      <c r="H34" s="64">
        <f t="shared" si="5"/>
        <v>38007</v>
      </c>
      <c r="I34" s="38">
        <f t="shared" si="6"/>
        <v>6314</v>
      </c>
      <c r="J34" s="109">
        <f t="shared" si="7"/>
        <v>943</v>
      </c>
      <c r="K34" s="203">
        <f t="shared" si="10"/>
        <v>45264</v>
      </c>
      <c r="M34" s="216">
        <v>21935</v>
      </c>
      <c r="N34" s="216">
        <v>15539</v>
      </c>
      <c r="O34" s="216">
        <v>533</v>
      </c>
      <c r="P34" s="216">
        <v>38007</v>
      </c>
      <c r="Q34" s="216">
        <v>6314</v>
      </c>
      <c r="R34" s="216">
        <v>943</v>
      </c>
      <c r="S34" s="216">
        <v>45264</v>
      </c>
      <c r="T34" s="215"/>
      <c r="U34" s="216">
        <f t="shared" si="11"/>
        <v>0</v>
      </c>
      <c r="V34" s="216">
        <f t="shared" si="12"/>
        <v>0</v>
      </c>
      <c r="W34" s="216">
        <f t="shared" si="13"/>
        <v>0</v>
      </c>
      <c r="X34" s="216">
        <f t="shared" si="14"/>
        <v>0</v>
      </c>
      <c r="Y34" s="216">
        <f t="shared" si="15"/>
        <v>0</v>
      </c>
      <c r="Z34" s="216">
        <f t="shared" si="16"/>
        <v>0</v>
      </c>
      <c r="AA34" s="216">
        <f t="shared" si="17"/>
        <v>0</v>
      </c>
      <c r="AQ34" s="39">
        <v>1</v>
      </c>
      <c r="AR34" s="38">
        <f>AR$5+AR7</f>
        <v>74108</v>
      </c>
      <c r="AS34" s="38">
        <f t="shared" ref="AS34:AX34" si="32">AS$5+AS7</f>
        <v>53264</v>
      </c>
      <c r="AT34" s="38">
        <f t="shared" si="32"/>
        <v>1827</v>
      </c>
      <c r="AU34" s="38">
        <f t="shared" si="32"/>
        <v>130280</v>
      </c>
      <c r="AV34" s="38">
        <f t="shared" si="32"/>
        <v>21643</v>
      </c>
      <c r="AW34" s="112">
        <f>AW$5+AW7</f>
        <v>3232</v>
      </c>
      <c r="AX34" s="38">
        <f t="shared" si="32"/>
        <v>151923</v>
      </c>
      <c r="AY34" s="39">
        <v>3</v>
      </c>
    </row>
    <row r="35" spans="1:51" ht="19.5" thickBot="1">
      <c r="A35" s="186">
        <v>440</v>
      </c>
      <c r="B35" s="187">
        <v>440000</v>
      </c>
      <c r="C35" s="188">
        <f>IF(B35&gt;=算定ツール!$F$12,算定ツール!$F$12,B35)</f>
        <v>440000</v>
      </c>
      <c r="E35" s="192">
        <f t="shared" si="9"/>
        <v>23540</v>
      </c>
      <c r="F35" s="193">
        <f t="shared" si="3"/>
        <v>16676</v>
      </c>
      <c r="G35" s="193">
        <f t="shared" si="4"/>
        <v>572</v>
      </c>
      <c r="H35" s="193">
        <f t="shared" si="5"/>
        <v>40788</v>
      </c>
      <c r="I35" s="194">
        <f t="shared" si="6"/>
        <v>6776</v>
      </c>
      <c r="J35" s="195">
        <f t="shared" si="7"/>
        <v>1012</v>
      </c>
      <c r="K35" s="196">
        <f t="shared" si="10"/>
        <v>48576</v>
      </c>
      <c r="M35" s="216">
        <v>23540</v>
      </c>
      <c r="N35" s="216">
        <v>16676</v>
      </c>
      <c r="O35" s="216">
        <v>572</v>
      </c>
      <c r="P35" s="216">
        <v>40788</v>
      </c>
      <c r="Q35" s="216">
        <v>6776</v>
      </c>
      <c r="R35" s="216">
        <v>1012</v>
      </c>
      <c r="S35" s="216">
        <v>48576</v>
      </c>
      <c r="T35" s="215"/>
      <c r="U35" s="216">
        <f t="shared" si="11"/>
        <v>0</v>
      </c>
      <c r="V35" s="216">
        <f t="shared" si="12"/>
        <v>0</v>
      </c>
      <c r="W35" s="216">
        <f t="shared" si="13"/>
        <v>0</v>
      </c>
      <c r="X35" s="216">
        <f t="shared" si="14"/>
        <v>0</v>
      </c>
      <c r="Y35" s="216">
        <f t="shared" si="15"/>
        <v>0</v>
      </c>
      <c r="Z35" s="216">
        <f t="shared" si="16"/>
        <v>0</v>
      </c>
      <c r="AA35" s="216">
        <f t="shared" si="17"/>
        <v>0</v>
      </c>
      <c r="AQ35" s="39">
        <v>2</v>
      </c>
      <c r="AR35" s="38">
        <f>AR$5+AR6</f>
        <v>49127</v>
      </c>
      <c r="AS35" s="38">
        <f t="shared" ref="AS35:AX35" si="33">AS$5+AS6</f>
        <v>35567</v>
      </c>
      <c r="AT35" s="38">
        <f t="shared" si="33"/>
        <v>1220</v>
      </c>
      <c r="AU35" s="38">
        <f t="shared" si="33"/>
        <v>86995</v>
      </c>
      <c r="AV35" s="38">
        <f t="shared" si="33"/>
        <v>14452</v>
      </c>
      <c r="AW35" s="112">
        <f>AW$5+AW6</f>
        <v>2158</v>
      </c>
      <c r="AX35" s="38">
        <f t="shared" si="33"/>
        <v>101447</v>
      </c>
      <c r="AY35" s="39">
        <v>3</v>
      </c>
    </row>
    <row r="36" spans="1:51">
      <c r="A36" s="183">
        <v>470</v>
      </c>
      <c r="B36" s="184">
        <v>470000</v>
      </c>
      <c r="C36" s="185">
        <f>IF(B36&gt;=算定ツール!$F$12,算定ツール!$F$12,B36)</f>
        <v>470000</v>
      </c>
      <c r="E36" s="204">
        <f t="shared" si="9"/>
        <v>25145</v>
      </c>
      <c r="F36" s="189">
        <f t="shared" si="3"/>
        <v>17813</v>
      </c>
      <c r="G36" s="189">
        <f t="shared" si="4"/>
        <v>611</v>
      </c>
      <c r="H36" s="189">
        <f t="shared" si="5"/>
        <v>43569</v>
      </c>
      <c r="I36" s="190">
        <f t="shared" si="6"/>
        <v>7238</v>
      </c>
      <c r="J36" s="191">
        <f t="shared" si="7"/>
        <v>1081</v>
      </c>
      <c r="K36" s="205">
        <f t="shared" si="10"/>
        <v>51888</v>
      </c>
      <c r="M36" s="216">
        <v>25145</v>
      </c>
      <c r="N36" s="216">
        <v>17813</v>
      </c>
      <c r="O36" s="216">
        <v>611</v>
      </c>
      <c r="P36" s="216">
        <v>43569</v>
      </c>
      <c r="Q36" s="216">
        <v>7238</v>
      </c>
      <c r="R36" s="216">
        <v>1081</v>
      </c>
      <c r="S36" s="216">
        <v>51888</v>
      </c>
      <c r="T36" s="215"/>
      <c r="U36" s="216">
        <f t="shared" si="11"/>
        <v>0</v>
      </c>
      <c r="V36" s="216">
        <f t="shared" si="12"/>
        <v>0</v>
      </c>
      <c r="W36" s="216">
        <f t="shared" si="13"/>
        <v>0</v>
      </c>
      <c r="X36" s="216">
        <f t="shared" si="14"/>
        <v>0</v>
      </c>
      <c r="Y36" s="216">
        <f t="shared" si="15"/>
        <v>0</v>
      </c>
      <c r="Z36" s="216">
        <f t="shared" si="16"/>
        <v>0</v>
      </c>
      <c r="AA36" s="216">
        <f t="shared" si="17"/>
        <v>0</v>
      </c>
      <c r="AQ36" s="39">
        <v>3</v>
      </c>
      <c r="AR36" s="38">
        <f>AR$5+AR11</f>
        <v>173221</v>
      </c>
      <c r="AS36" s="38">
        <f t="shared" ref="AS36:AX36" si="34">AS$5+AS11</f>
        <v>123476</v>
      </c>
      <c r="AT36" s="38">
        <f t="shared" si="34"/>
        <v>4235</v>
      </c>
      <c r="AU36" s="38">
        <f t="shared" si="34"/>
        <v>302013</v>
      </c>
      <c r="AV36" s="38">
        <f t="shared" si="34"/>
        <v>50172</v>
      </c>
      <c r="AW36" s="112">
        <f>AW$5+AW11</f>
        <v>7493</v>
      </c>
      <c r="AX36" s="38">
        <f t="shared" si="34"/>
        <v>352185</v>
      </c>
      <c r="AY36" s="39">
        <v>9</v>
      </c>
    </row>
    <row r="37" spans="1:51">
      <c r="A37" s="54">
        <v>500</v>
      </c>
      <c r="B37" s="55">
        <v>500000</v>
      </c>
      <c r="C37" s="56">
        <f>IF(B37&gt;=算定ツール!$F$12,算定ツール!$F$12,B37)</f>
        <v>470000</v>
      </c>
      <c r="E37" s="202">
        <f t="shared" si="9"/>
        <v>25145</v>
      </c>
      <c r="F37" s="64">
        <f t="shared" si="3"/>
        <v>17813</v>
      </c>
      <c r="G37" s="64">
        <f t="shared" si="4"/>
        <v>611</v>
      </c>
      <c r="H37" s="64">
        <f t="shared" si="5"/>
        <v>43569</v>
      </c>
      <c r="I37" s="38">
        <f t="shared" si="6"/>
        <v>7238</v>
      </c>
      <c r="J37" s="109">
        <f t="shared" si="7"/>
        <v>1081</v>
      </c>
      <c r="K37" s="203">
        <f t="shared" si="10"/>
        <v>51888</v>
      </c>
      <c r="M37" s="216">
        <v>25145</v>
      </c>
      <c r="N37" s="216">
        <v>17813</v>
      </c>
      <c r="O37" s="216">
        <v>611</v>
      </c>
      <c r="P37" s="216">
        <v>43569</v>
      </c>
      <c r="Q37" s="216">
        <v>7238</v>
      </c>
      <c r="R37" s="216">
        <v>1081</v>
      </c>
      <c r="S37" s="216">
        <v>51888</v>
      </c>
      <c r="T37" s="215"/>
      <c r="U37" s="216">
        <f t="shared" si="11"/>
        <v>0</v>
      </c>
      <c r="V37" s="216">
        <f t="shared" si="12"/>
        <v>0</v>
      </c>
      <c r="W37" s="216">
        <f t="shared" si="13"/>
        <v>0</v>
      </c>
      <c r="X37" s="216">
        <f t="shared" si="14"/>
        <v>0</v>
      </c>
      <c r="Y37" s="216">
        <f t="shared" si="15"/>
        <v>0</v>
      </c>
      <c r="Z37" s="216">
        <f t="shared" si="16"/>
        <v>0</v>
      </c>
      <c r="AA37" s="216">
        <f t="shared" si="17"/>
        <v>0</v>
      </c>
      <c r="AQ37" s="39">
        <v>4</v>
      </c>
      <c r="AR37" s="38">
        <f>AR$5+AR10</f>
        <v>148564</v>
      </c>
      <c r="AS37" s="38">
        <f t="shared" ref="AS37:AX37" si="35">AS$5+AS10</f>
        <v>106009</v>
      </c>
      <c r="AT37" s="38">
        <f t="shared" si="35"/>
        <v>3636</v>
      </c>
      <c r="AU37" s="38">
        <f t="shared" si="35"/>
        <v>259290</v>
      </c>
      <c r="AV37" s="38">
        <f t="shared" si="35"/>
        <v>43075</v>
      </c>
      <c r="AW37" s="112">
        <f>AW$5+AW10</f>
        <v>6433</v>
      </c>
      <c r="AX37" s="38">
        <f t="shared" si="35"/>
        <v>302365</v>
      </c>
      <c r="AY37" s="39">
        <v>9</v>
      </c>
    </row>
    <row r="38" spans="1:51">
      <c r="A38" s="54">
        <v>530</v>
      </c>
      <c r="B38" s="55">
        <v>530000</v>
      </c>
      <c r="C38" s="56">
        <f>IF(B38&gt;=算定ツール!$F$12,算定ツール!$F$12,B38)</f>
        <v>470000</v>
      </c>
      <c r="E38" s="202">
        <f t="shared" si="9"/>
        <v>25145</v>
      </c>
      <c r="F38" s="64">
        <f t="shared" si="3"/>
        <v>17813</v>
      </c>
      <c r="G38" s="64">
        <f t="shared" si="4"/>
        <v>611</v>
      </c>
      <c r="H38" s="64">
        <f t="shared" si="5"/>
        <v>43569</v>
      </c>
      <c r="I38" s="38">
        <f t="shared" si="6"/>
        <v>7238</v>
      </c>
      <c r="J38" s="109">
        <f t="shared" si="7"/>
        <v>1081</v>
      </c>
      <c r="K38" s="203">
        <f t="shared" si="10"/>
        <v>51888</v>
      </c>
      <c r="M38" s="216">
        <v>25145</v>
      </c>
      <c r="N38" s="216">
        <v>17813</v>
      </c>
      <c r="O38" s="216">
        <v>611</v>
      </c>
      <c r="P38" s="216">
        <v>43569</v>
      </c>
      <c r="Q38" s="216">
        <v>7238</v>
      </c>
      <c r="R38" s="216">
        <v>1081</v>
      </c>
      <c r="S38" s="216">
        <v>51888</v>
      </c>
      <c r="T38" s="215"/>
      <c r="U38" s="216">
        <f t="shared" si="11"/>
        <v>0</v>
      </c>
      <c r="V38" s="216">
        <f t="shared" si="12"/>
        <v>0</v>
      </c>
      <c r="W38" s="216">
        <f t="shared" si="13"/>
        <v>0</v>
      </c>
      <c r="X38" s="216">
        <f t="shared" si="14"/>
        <v>0</v>
      </c>
      <c r="Y38" s="216">
        <f t="shared" si="15"/>
        <v>0</v>
      </c>
      <c r="Z38" s="216">
        <f t="shared" si="16"/>
        <v>0</v>
      </c>
      <c r="AA38" s="216">
        <f t="shared" si="17"/>
        <v>0</v>
      </c>
      <c r="AQ38" s="39">
        <v>5</v>
      </c>
      <c r="AR38" s="38">
        <f>AR$5+AR9</f>
        <v>123826</v>
      </c>
      <c r="AS38" s="38">
        <f t="shared" ref="AS38:AX38" si="36">AS$5+AS9</f>
        <v>88485</v>
      </c>
      <c r="AT38" s="38">
        <f t="shared" si="36"/>
        <v>3035</v>
      </c>
      <c r="AU38" s="38">
        <f t="shared" si="36"/>
        <v>216427</v>
      </c>
      <c r="AV38" s="38">
        <f t="shared" si="36"/>
        <v>35954</v>
      </c>
      <c r="AW38" s="112">
        <f>AW$5+AW9</f>
        <v>5369</v>
      </c>
      <c r="AX38" s="38">
        <f t="shared" si="36"/>
        <v>252381</v>
      </c>
      <c r="AY38" s="39">
        <v>9</v>
      </c>
    </row>
    <row r="39" spans="1:51">
      <c r="A39" s="54">
        <v>560</v>
      </c>
      <c r="B39" s="55">
        <v>560000</v>
      </c>
      <c r="C39" s="56">
        <f>IF(B39&gt;=算定ツール!$F$12,算定ツール!$F$12,B39)</f>
        <v>470000</v>
      </c>
      <c r="E39" s="202">
        <f t="shared" si="9"/>
        <v>25145</v>
      </c>
      <c r="F39" s="64">
        <f t="shared" si="3"/>
        <v>17813</v>
      </c>
      <c r="G39" s="64">
        <f t="shared" si="4"/>
        <v>611</v>
      </c>
      <c r="H39" s="64">
        <f t="shared" si="5"/>
        <v>43569</v>
      </c>
      <c r="I39" s="38">
        <f t="shared" si="6"/>
        <v>7238</v>
      </c>
      <c r="J39" s="109">
        <f t="shared" si="7"/>
        <v>1081</v>
      </c>
      <c r="K39" s="203">
        <f t="shared" si="10"/>
        <v>51888</v>
      </c>
      <c r="M39" s="216">
        <v>25145</v>
      </c>
      <c r="N39" s="216">
        <v>17813</v>
      </c>
      <c r="O39" s="216">
        <v>611</v>
      </c>
      <c r="P39" s="216">
        <v>43569</v>
      </c>
      <c r="Q39" s="216">
        <v>7238</v>
      </c>
      <c r="R39" s="216">
        <v>1081</v>
      </c>
      <c r="S39" s="216">
        <v>51888</v>
      </c>
      <c r="T39" s="215"/>
      <c r="U39" s="216">
        <f t="shared" si="11"/>
        <v>0</v>
      </c>
      <c r="V39" s="216">
        <f t="shared" si="12"/>
        <v>0</v>
      </c>
      <c r="W39" s="216">
        <f t="shared" si="13"/>
        <v>0</v>
      </c>
      <c r="X39" s="216">
        <f t="shared" si="14"/>
        <v>0</v>
      </c>
      <c r="Y39" s="216">
        <f t="shared" si="15"/>
        <v>0</v>
      </c>
      <c r="Z39" s="216">
        <f t="shared" si="16"/>
        <v>0</v>
      </c>
      <c r="AA39" s="216">
        <f t="shared" si="17"/>
        <v>0</v>
      </c>
      <c r="AQ39" s="39">
        <v>6</v>
      </c>
      <c r="AR39" s="38">
        <f>AR$5+AR8</f>
        <v>99007</v>
      </c>
      <c r="AS39" s="38">
        <f t="shared" ref="AS39:AX39" si="37">AS$5+AS8</f>
        <v>70904</v>
      </c>
      <c r="AT39" s="38">
        <f t="shared" si="37"/>
        <v>2432</v>
      </c>
      <c r="AU39" s="38">
        <f t="shared" si="37"/>
        <v>173424</v>
      </c>
      <c r="AV39" s="38">
        <f t="shared" si="37"/>
        <v>28810</v>
      </c>
      <c r="AW39" s="112">
        <f>AW$5+AW8</f>
        <v>4302</v>
      </c>
      <c r="AX39" s="38">
        <f t="shared" si="37"/>
        <v>202234</v>
      </c>
      <c r="AY39" s="39">
        <v>9</v>
      </c>
    </row>
    <row r="40" spans="1:51">
      <c r="A40" s="54">
        <v>590</v>
      </c>
      <c r="B40" s="55">
        <v>590000</v>
      </c>
      <c r="C40" s="56">
        <f>IF(B40&gt;=算定ツール!$F$12,算定ツール!$F$12,B40)</f>
        <v>470000</v>
      </c>
      <c r="E40" s="202">
        <f t="shared" si="9"/>
        <v>25145</v>
      </c>
      <c r="F40" s="64">
        <f t="shared" ref="F40:F57" si="38">ROUNDDOWN(C40/1000*$Y$5,0)</f>
        <v>17813</v>
      </c>
      <c r="G40" s="64">
        <f t="shared" ref="G40:G57" si="39">ROUNDDOWN(C40/1000*$Z$5,0)</f>
        <v>611</v>
      </c>
      <c r="H40" s="64">
        <f t="shared" ref="H40:H57" si="40">ROUNDDOWN(C40/1000*$AA$5,0)</f>
        <v>43569</v>
      </c>
      <c r="I40" s="38">
        <f t="shared" ref="I40:I57" si="41">ROUNDDOWN(C40/1000*$AB$5,0)</f>
        <v>7238</v>
      </c>
      <c r="J40" s="109">
        <f t="shared" ref="J40:J57" si="42">ROUNDDOWN(C40/1000*$AC$5,0)</f>
        <v>1081</v>
      </c>
      <c r="K40" s="203">
        <f t="shared" si="10"/>
        <v>51888</v>
      </c>
      <c r="M40" s="216">
        <v>25145</v>
      </c>
      <c r="N40" s="216">
        <v>17813</v>
      </c>
      <c r="O40" s="216">
        <v>611</v>
      </c>
      <c r="P40" s="216">
        <v>43569</v>
      </c>
      <c r="Q40" s="216">
        <v>7238</v>
      </c>
      <c r="R40" s="216">
        <v>1081</v>
      </c>
      <c r="S40" s="216">
        <v>51888</v>
      </c>
      <c r="T40" s="215"/>
      <c r="U40" s="216">
        <f t="shared" si="11"/>
        <v>0</v>
      </c>
      <c r="V40" s="216">
        <f t="shared" si="12"/>
        <v>0</v>
      </c>
      <c r="W40" s="216">
        <f t="shared" si="13"/>
        <v>0</v>
      </c>
      <c r="X40" s="216">
        <f t="shared" si="14"/>
        <v>0</v>
      </c>
      <c r="Y40" s="216">
        <f t="shared" si="15"/>
        <v>0</v>
      </c>
      <c r="Z40" s="216">
        <f t="shared" si="16"/>
        <v>0</v>
      </c>
      <c r="AA40" s="216">
        <f t="shared" si="17"/>
        <v>0</v>
      </c>
      <c r="AQ40" s="39">
        <v>7</v>
      </c>
      <c r="AR40" s="38">
        <f>AR$5+AR7</f>
        <v>74108</v>
      </c>
      <c r="AS40" s="38">
        <f t="shared" ref="AS40:AX40" si="43">AS$5+AS7</f>
        <v>53264</v>
      </c>
      <c r="AT40" s="38">
        <f t="shared" si="43"/>
        <v>1827</v>
      </c>
      <c r="AU40" s="38">
        <f t="shared" si="43"/>
        <v>130280</v>
      </c>
      <c r="AV40" s="38">
        <f t="shared" si="43"/>
        <v>21643</v>
      </c>
      <c r="AW40" s="112">
        <f>AW$5+AW7</f>
        <v>3232</v>
      </c>
      <c r="AX40" s="38">
        <f t="shared" si="43"/>
        <v>151923</v>
      </c>
      <c r="AY40" s="39">
        <v>9</v>
      </c>
    </row>
    <row r="41" spans="1:51">
      <c r="A41" s="54">
        <v>620</v>
      </c>
      <c r="B41" s="55">
        <v>620000</v>
      </c>
      <c r="C41" s="56">
        <f>IF(B41&gt;=算定ツール!$F$12,算定ツール!$F$12,B41)</f>
        <v>470000</v>
      </c>
      <c r="E41" s="202">
        <f t="shared" si="9"/>
        <v>25145</v>
      </c>
      <c r="F41" s="64">
        <f t="shared" si="38"/>
        <v>17813</v>
      </c>
      <c r="G41" s="64">
        <f t="shared" si="39"/>
        <v>611</v>
      </c>
      <c r="H41" s="64">
        <f t="shared" si="40"/>
        <v>43569</v>
      </c>
      <c r="I41" s="38">
        <f t="shared" si="41"/>
        <v>7238</v>
      </c>
      <c r="J41" s="109">
        <f t="shared" si="42"/>
        <v>1081</v>
      </c>
      <c r="K41" s="203">
        <f t="shared" si="10"/>
        <v>51888</v>
      </c>
      <c r="M41" s="216">
        <v>25145</v>
      </c>
      <c r="N41" s="216">
        <v>17813</v>
      </c>
      <c r="O41" s="216">
        <v>611</v>
      </c>
      <c r="P41" s="216">
        <v>43569</v>
      </c>
      <c r="Q41" s="216">
        <v>7238</v>
      </c>
      <c r="R41" s="216">
        <v>1081</v>
      </c>
      <c r="S41" s="216">
        <v>51888</v>
      </c>
      <c r="T41" s="215"/>
      <c r="U41" s="216">
        <f t="shared" si="11"/>
        <v>0</v>
      </c>
      <c r="V41" s="216">
        <f t="shared" si="12"/>
        <v>0</v>
      </c>
      <c r="W41" s="216">
        <f t="shared" si="13"/>
        <v>0</v>
      </c>
      <c r="X41" s="216">
        <f t="shared" si="14"/>
        <v>0</v>
      </c>
      <c r="Y41" s="216">
        <f t="shared" si="15"/>
        <v>0</v>
      </c>
      <c r="Z41" s="216">
        <f t="shared" si="16"/>
        <v>0</v>
      </c>
      <c r="AA41" s="216">
        <f t="shared" si="17"/>
        <v>0</v>
      </c>
      <c r="AQ41" s="39">
        <v>8</v>
      </c>
      <c r="AR41" s="38">
        <f>AR$5+AR6</f>
        <v>49127</v>
      </c>
      <c r="AS41" s="38">
        <f t="shared" ref="AS41:AX41" si="44">AS$5+AS6</f>
        <v>35567</v>
      </c>
      <c r="AT41" s="38">
        <f t="shared" si="44"/>
        <v>1220</v>
      </c>
      <c r="AU41" s="38">
        <f t="shared" si="44"/>
        <v>86995</v>
      </c>
      <c r="AV41" s="38">
        <f t="shared" si="44"/>
        <v>14452</v>
      </c>
      <c r="AW41" s="112">
        <f>AW$5+AW6</f>
        <v>2158</v>
      </c>
      <c r="AX41" s="38">
        <f t="shared" si="44"/>
        <v>101447</v>
      </c>
      <c r="AY41" s="39">
        <v>9</v>
      </c>
    </row>
    <row r="42" spans="1:51">
      <c r="A42" s="54">
        <v>650</v>
      </c>
      <c r="B42" s="55">
        <v>650000</v>
      </c>
      <c r="C42" s="56">
        <f>IF(B42&gt;=算定ツール!$F$12,算定ツール!$F$12,B42)</f>
        <v>470000</v>
      </c>
      <c r="E42" s="202">
        <f t="shared" si="9"/>
        <v>25145</v>
      </c>
      <c r="F42" s="64">
        <f t="shared" si="38"/>
        <v>17813</v>
      </c>
      <c r="G42" s="64">
        <f t="shared" si="39"/>
        <v>611</v>
      </c>
      <c r="H42" s="64">
        <f t="shared" si="40"/>
        <v>43569</v>
      </c>
      <c r="I42" s="38">
        <f t="shared" si="41"/>
        <v>7238</v>
      </c>
      <c r="J42" s="109">
        <f t="shared" si="42"/>
        <v>1081</v>
      </c>
      <c r="K42" s="203">
        <f t="shared" si="10"/>
        <v>51888</v>
      </c>
      <c r="M42" s="216">
        <v>25145</v>
      </c>
      <c r="N42" s="216">
        <v>17813</v>
      </c>
      <c r="O42" s="216">
        <v>611</v>
      </c>
      <c r="P42" s="216">
        <v>43569</v>
      </c>
      <c r="Q42" s="216">
        <v>7238</v>
      </c>
      <c r="R42" s="216">
        <v>1081</v>
      </c>
      <c r="S42" s="216">
        <v>51888</v>
      </c>
      <c r="T42" s="215"/>
      <c r="U42" s="216">
        <f t="shared" si="11"/>
        <v>0</v>
      </c>
      <c r="V42" s="216">
        <f t="shared" si="12"/>
        <v>0</v>
      </c>
      <c r="W42" s="216">
        <f t="shared" si="13"/>
        <v>0</v>
      </c>
      <c r="X42" s="216">
        <f t="shared" si="14"/>
        <v>0</v>
      </c>
      <c r="Y42" s="216">
        <f t="shared" si="15"/>
        <v>0</v>
      </c>
      <c r="Z42" s="216">
        <f t="shared" si="16"/>
        <v>0</v>
      </c>
      <c r="AA42" s="216">
        <f t="shared" si="17"/>
        <v>0</v>
      </c>
      <c r="AQ42" s="39">
        <v>9</v>
      </c>
      <c r="AR42" s="38">
        <f>AR$5+AR11</f>
        <v>173221</v>
      </c>
      <c r="AS42" s="38">
        <f t="shared" ref="AS42:AX42" si="45">AS$5+AS11</f>
        <v>123476</v>
      </c>
      <c r="AT42" s="38">
        <f t="shared" si="45"/>
        <v>4235</v>
      </c>
      <c r="AU42" s="38">
        <f t="shared" si="45"/>
        <v>302013</v>
      </c>
      <c r="AV42" s="38">
        <f t="shared" si="45"/>
        <v>50172</v>
      </c>
      <c r="AW42" s="112">
        <f>AW$5+AW11</f>
        <v>7493</v>
      </c>
      <c r="AX42" s="38">
        <f t="shared" si="45"/>
        <v>352185</v>
      </c>
      <c r="AY42" s="39">
        <v>3</v>
      </c>
    </row>
    <row r="43" spans="1:51">
      <c r="A43" s="54">
        <v>680</v>
      </c>
      <c r="B43" s="55">
        <v>680000</v>
      </c>
      <c r="C43" s="56">
        <f>IF(B43&gt;=算定ツール!$F$12,算定ツール!$F$12,B43)</f>
        <v>470000</v>
      </c>
      <c r="E43" s="202">
        <f t="shared" si="9"/>
        <v>25145</v>
      </c>
      <c r="F43" s="64">
        <f t="shared" si="38"/>
        <v>17813</v>
      </c>
      <c r="G43" s="64">
        <f t="shared" si="39"/>
        <v>611</v>
      </c>
      <c r="H43" s="64">
        <f t="shared" si="40"/>
        <v>43569</v>
      </c>
      <c r="I43" s="38">
        <f t="shared" si="41"/>
        <v>7238</v>
      </c>
      <c r="J43" s="109">
        <f t="shared" si="42"/>
        <v>1081</v>
      </c>
      <c r="K43" s="203">
        <f t="shared" si="10"/>
        <v>51888</v>
      </c>
      <c r="M43" s="216">
        <v>25145</v>
      </c>
      <c r="N43" s="216">
        <v>17813</v>
      </c>
      <c r="O43" s="216">
        <v>611</v>
      </c>
      <c r="P43" s="216">
        <v>43569</v>
      </c>
      <c r="Q43" s="216">
        <v>7238</v>
      </c>
      <c r="R43" s="216">
        <v>1081</v>
      </c>
      <c r="S43" s="216">
        <v>51888</v>
      </c>
      <c r="T43" s="215"/>
      <c r="U43" s="216">
        <f t="shared" si="11"/>
        <v>0</v>
      </c>
      <c r="V43" s="216">
        <f t="shared" si="12"/>
        <v>0</v>
      </c>
      <c r="W43" s="216">
        <f t="shared" si="13"/>
        <v>0</v>
      </c>
      <c r="X43" s="216">
        <f t="shared" si="14"/>
        <v>0</v>
      </c>
      <c r="Y43" s="216">
        <f t="shared" si="15"/>
        <v>0</v>
      </c>
      <c r="Z43" s="216">
        <f t="shared" si="16"/>
        <v>0</v>
      </c>
      <c r="AA43" s="216">
        <f t="shared" si="17"/>
        <v>0</v>
      </c>
      <c r="AQ43" s="39">
        <v>10</v>
      </c>
      <c r="AR43" s="38">
        <f>AR$5+AR10</f>
        <v>148564</v>
      </c>
      <c r="AS43" s="38">
        <f t="shared" ref="AS43:AX43" si="46">AS$5+AS10</f>
        <v>106009</v>
      </c>
      <c r="AT43" s="38">
        <f t="shared" si="46"/>
        <v>3636</v>
      </c>
      <c r="AU43" s="38">
        <f t="shared" si="46"/>
        <v>259290</v>
      </c>
      <c r="AV43" s="38">
        <f t="shared" si="46"/>
        <v>43075</v>
      </c>
      <c r="AW43" s="112">
        <f>AW$5+AW10</f>
        <v>6433</v>
      </c>
      <c r="AX43" s="38">
        <f t="shared" si="46"/>
        <v>302365</v>
      </c>
      <c r="AY43" s="39">
        <v>3</v>
      </c>
    </row>
    <row r="44" spans="1:51">
      <c r="A44" s="54">
        <v>710</v>
      </c>
      <c r="B44" s="55">
        <v>710000</v>
      </c>
      <c r="C44" s="56">
        <f>IF(B44&gt;=算定ツール!$F$12,算定ツール!$F$12,B44)</f>
        <v>470000</v>
      </c>
      <c r="E44" s="202">
        <f t="shared" si="9"/>
        <v>25145</v>
      </c>
      <c r="F44" s="64">
        <f t="shared" si="38"/>
        <v>17813</v>
      </c>
      <c r="G44" s="64">
        <f t="shared" si="39"/>
        <v>611</v>
      </c>
      <c r="H44" s="64">
        <f t="shared" si="40"/>
        <v>43569</v>
      </c>
      <c r="I44" s="38">
        <f t="shared" si="41"/>
        <v>7238</v>
      </c>
      <c r="J44" s="109">
        <f t="shared" si="42"/>
        <v>1081</v>
      </c>
      <c r="K44" s="203">
        <f t="shared" si="10"/>
        <v>51888</v>
      </c>
      <c r="M44" s="216">
        <v>25145</v>
      </c>
      <c r="N44" s="216">
        <v>17813</v>
      </c>
      <c r="O44" s="216">
        <v>611</v>
      </c>
      <c r="P44" s="216">
        <v>43569</v>
      </c>
      <c r="Q44" s="216">
        <v>7238</v>
      </c>
      <c r="R44" s="216">
        <v>1081</v>
      </c>
      <c r="S44" s="216">
        <v>51888</v>
      </c>
      <c r="T44" s="215"/>
      <c r="U44" s="216">
        <f t="shared" si="11"/>
        <v>0</v>
      </c>
      <c r="V44" s="216">
        <f t="shared" si="12"/>
        <v>0</v>
      </c>
      <c r="W44" s="216">
        <f t="shared" si="13"/>
        <v>0</v>
      </c>
      <c r="X44" s="216">
        <f t="shared" si="14"/>
        <v>0</v>
      </c>
      <c r="Y44" s="216">
        <f t="shared" si="15"/>
        <v>0</v>
      </c>
      <c r="Z44" s="216">
        <f t="shared" si="16"/>
        <v>0</v>
      </c>
      <c r="AA44" s="216">
        <f t="shared" si="17"/>
        <v>0</v>
      </c>
      <c r="AQ44" s="39">
        <v>11</v>
      </c>
      <c r="AR44" s="38">
        <f>AR$5+AR9</f>
        <v>123826</v>
      </c>
      <c r="AS44" s="38">
        <f t="shared" ref="AS44:AX44" si="47">AS$5+AS9</f>
        <v>88485</v>
      </c>
      <c r="AT44" s="38">
        <f t="shared" si="47"/>
        <v>3035</v>
      </c>
      <c r="AU44" s="38">
        <f t="shared" si="47"/>
        <v>216427</v>
      </c>
      <c r="AV44" s="38">
        <f t="shared" si="47"/>
        <v>35954</v>
      </c>
      <c r="AW44" s="112">
        <f>AW$5+AW9</f>
        <v>5369</v>
      </c>
      <c r="AX44" s="38">
        <f t="shared" si="47"/>
        <v>252381</v>
      </c>
      <c r="AY44" s="39">
        <v>3</v>
      </c>
    </row>
    <row r="45" spans="1:51">
      <c r="A45" s="54">
        <v>750</v>
      </c>
      <c r="B45" s="55">
        <v>750000</v>
      </c>
      <c r="C45" s="56">
        <f>IF(B45&gt;=算定ツール!$F$12,算定ツール!$F$12,B45)</f>
        <v>470000</v>
      </c>
      <c r="E45" s="202">
        <f t="shared" si="9"/>
        <v>25145</v>
      </c>
      <c r="F45" s="64">
        <f t="shared" si="38"/>
        <v>17813</v>
      </c>
      <c r="G45" s="64">
        <f t="shared" si="39"/>
        <v>611</v>
      </c>
      <c r="H45" s="64">
        <f t="shared" si="40"/>
        <v>43569</v>
      </c>
      <c r="I45" s="38">
        <f t="shared" si="41"/>
        <v>7238</v>
      </c>
      <c r="J45" s="109">
        <f t="shared" si="42"/>
        <v>1081</v>
      </c>
      <c r="K45" s="203">
        <f t="shared" si="10"/>
        <v>51888</v>
      </c>
      <c r="M45" s="216">
        <v>25145</v>
      </c>
      <c r="N45" s="216">
        <v>17813</v>
      </c>
      <c r="O45" s="216">
        <v>611</v>
      </c>
      <c r="P45" s="216">
        <v>43569</v>
      </c>
      <c r="Q45" s="216">
        <v>7238</v>
      </c>
      <c r="R45" s="216">
        <v>1081</v>
      </c>
      <c r="S45" s="216">
        <v>51888</v>
      </c>
      <c r="T45" s="215"/>
      <c r="U45" s="216">
        <f t="shared" si="11"/>
        <v>0</v>
      </c>
      <c r="V45" s="216">
        <f t="shared" si="12"/>
        <v>0</v>
      </c>
      <c r="W45" s="216">
        <f t="shared" si="13"/>
        <v>0</v>
      </c>
      <c r="X45" s="216">
        <f t="shared" si="14"/>
        <v>0</v>
      </c>
      <c r="Y45" s="216">
        <f t="shared" si="15"/>
        <v>0</v>
      </c>
      <c r="Z45" s="216">
        <f t="shared" si="16"/>
        <v>0</v>
      </c>
      <c r="AA45" s="216">
        <f t="shared" si="17"/>
        <v>0</v>
      </c>
      <c r="AQ45" s="39">
        <v>12</v>
      </c>
      <c r="AR45" s="38">
        <f>AR$5+AR8</f>
        <v>99007</v>
      </c>
      <c r="AS45" s="38">
        <f t="shared" ref="AS45:AX45" si="48">AS$5+AS8</f>
        <v>70904</v>
      </c>
      <c r="AT45" s="38">
        <f t="shared" si="48"/>
        <v>2432</v>
      </c>
      <c r="AU45" s="38">
        <f t="shared" si="48"/>
        <v>173424</v>
      </c>
      <c r="AV45" s="38">
        <f t="shared" si="48"/>
        <v>28810</v>
      </c>
      <c r="AW45" s="112">
        <f>AW$5+AW8</f>
        <v>4302</v>
      </c>
      <c r="AX45" s="38">
        <f t="shared" si="48"/>
        <v>202234</v>
      </c>
      <c r="AY45" s="39">
        <v>3</v>
      </c>
    </row>
    <row r="46" spans="1:51">
      <c r="A46" s="54">
        <v>790</v>
      </c>
      <c r="B46" s="55">
        <v>790000</v>
      </c>
      <c r="C46" s="56">
        <f>IF(B46&gt;=算定ツール!$F$12,算定ツール!$F$12,B46)</f>
        <v>470000</v>
      </c>
      <c r="E46" s="202">
        <f t="shared" si="9"/>
        <v>25145</v>
      </c>
      <c r="F46" s="64">
        <f t="shared" si="38"/>
        <v>17813</v>
      </c>
      <c r="G46" s="64">
        <f t="shared" si="39"/>
        <v>611</v>
      </c>
      <c r="H46" s="64">
        <f t="shared" si="40"/>
        <v>43569</v>
      </c>
      <c r="I46" s="38">
        <f t="shared" si="41"/>
        <v>7238</v>
      </c>
      <c r="J46" s="109">
        <f t="shared" si="42"/>
        <v>1081</v>
      </c>
      <c r="K46" s="203">
        <f t="shared" si="10"/>
        <v>51888</v>
      </c>
      <c r="M46" s="216">
        <v>25145</v>
      </c>
      <c r="N46" s="216">
        <v>17813</v>
      </c>
      <c r="O46" s="216">
        <v>611</v>
      </c>
      <c r="P46" s="216">
        <v>43569</v>
      </c>
      <c r="Q46" s="216">
        <v>7238</v>
      </c>
      <c r="R46" s="216">
        <v>1081</v>
      </c>
      <c r="S46" s="216">
        <v>51888</v>
      </c>
      <c r="T46" s="215"/>
      <c r="U46" s="216">
        <f t="shared" si="11"/>
        <v>0</v>
      </c>
      <c r="V46" s="216">
        <f t="shared" si="12"/>
        <v>0</v>
      </c>
      <c r="W46" s="216">
        <f t="shared" si="13"/>
        <v>0</v>
      </c>
      <c r="X46" s="216">
        <f t="shared" si="14"/>
        <v>0</v>
      </c>
      <c r="Y46" s="216">
        <f t="shared" si="15"/>
        <v>0</v>
      </c>
      <c r="Z46" s="216">
        <f t="shared" si="16"/>
        <v>0</v>
      </c>
      <c r="AA46" s="216">
        <f t="shared" si="17"/>
        <v>0</v>
      </c>
    </row>
    <row r="47" spans="1:51">
      <c r="A47" s="54">
        <v>830</v>
      </c>
      <c r="B47" s="55">
        <v>830000</v>
      </c>
      <c r="C47" s="56">
        <f>IF(B47&gt;=算定ツール!$F$12,算定ツール!$F$12,B47)</f>
        <v>470000</v>
      </c>
      <c r="E47" s="202">
        <f t="shared" si="9"/>
        <v>25145</v>
      </c>
      <c r="F47" s="64">
        <f t="shared" si="38"/>
        <v>17813</v>
      </c>
      <c r="G47" s="64">
        <f t="shared" si="39"/>
        <v>611</v>
      </c>
      <c r="H47" s="64">
        <f t="shared" si="40"/>
        <v>43569</v>
      </c>
      <c r="I47" s="38">
        <f t="shared" si="41"/>
        <v>7238</v>
      </c>
      <c r="J47" s="109">
        <f t="shared" si="42"/>
        <v>1081</v>
      </c>
      <c r="K47" s="203">
        <f t="shared" si="10"/>
        <v>51888</v>
      </c>
      <c r="M47" s="216">
        <v>25145</v>
      </c>
      <c r="N47" s="216">
        <v>17813</v>
      </c>
      <c r="O47" s="216">
        <v>611</v>
      </c>
      <c r="P47" s="216">
        <v>43569</v>
      </c>
      <c r="Q47" s="216">
        <v>7238</v>
      </c>
      <c r="R47" s="216">
        <v>1081</v>
      </c>
      <c r="S47" s="216">
        <v>51888</v>
      </c>
      <c r="T47" s="215"/>
      <c r="U47" s="216">
        <f t="shared" si="11"/>
        <v>0</v>
      </c>
      <c r="V47" s="216">
        <f t="shared" si="12"/>
        <v>0</v>
      </c>
      <c r="W47" s="216">
        <f t="shared" si="13"/>
        <v>0</v>
      </c>
      <c r="X47" s="216">
        <f t="shared" si="14"/>
        <v>0</v>
      </c>
      <c r="Y47" s="216">
        <f t="shared" si="15"/>
        <v>0</v>
      </c>
      <c r="Z47" s="216">
        <f t="shared" si="16"/>
        <v>0</v>
      </c>
      <c r="AA47" s="216">
        <f t="shared" si="17"/>
        <v>0</v>
      </c>
    </row>
    <row r="48" spans="1:51">
      <c r="A48" s="54">
        <v>880</v>
      </c>
      <c r="B48" s="55">
        <v>880000</v>
      </c>
      <c r="C48" s="56">
        <f>IF(B48&gt;=算定ツール!$F$12,算定ツール!$F$12,B48)</f>
        <v>470000</v>
      </c>
      <c r="E48" s="202">
        <f t="shared" si="9"/>
        <v>25145</v>
      </c>
      <c r="F48" s="64">
        <f t="shared" si="38"/>
        <v>17813</v>
      </c>
      <c r="G48" s="64">
        <f t="shared" si="39"/>
        <v>611</v>
      </c>
      <c r="H48" s="64">
        <f t="shared" si="40"/>
        <v>43569</v>
      </c>
      <c r="I48" s="38">
        <f t="shared" si="41"/>
        <v>7238</v>
      </c>
      <c r="J48" s="109">
        <f t="shared" si="42"/>
        <v>1081</v>
      </c>
      <c r="K48" s="203">
        <f t="shared" si="10"/>
        <v>51888</v>
      </c>
      <c r="M48" s="216">
        <v>25145</v>
      </c>
      <c r="N48" s="216">
        <v>17813</v>
      </c>
      <c r="O48" s="216">
        <v>611</v>
      </c>
      <c r="P48" s="216">
        <v>43569</v>
      </c>
      <c r="Q48" s="216">
        <v>7238</v>
      </c>
      <c r="R48" s="216">
        <v>1081</v>
      </c>
      <c r="S48" s="216">
        <v>51888</v>
      </c>
      <c r="T48" s="215"/>
      <c r="U48" s="216">
        <f t="shared" si="11"/>
        <v>0</v>
      </c>
      <c r="V48" s="216">
        <f t="shared" si="12"/>
        <v>0</v>
      </c>
      <c r="W48" s="216">
        <f t="shared" si="13"/>
        <v>0</v>
      </c>
      <c r="X48" s="216">
        <f t="shared" si="14"/>
        <v>0</v>
      </c>
      <c r="Y48" s="216">
        <f t="shared" si="15"/>
        <v>0</v>
      </c>
      <c r="Z48" s="216">
        <f t="shared" si="16"/>
        <v>0</v>
      </c>
      <c r="AA48" s="216">
        <f t="shared" si="17"/>
        <v>0</v>
      </c>
    </row>
    <row r="49" spans="1:27">
      <c r="A49" s="54">
        <v>930</v>
      </c>
      <c r="B49" s="55">
        <v>930000</v>
      </c>
      <c r="C49" s="56">
        <f>IF(B49&gt;=算定ツール!$F$12,算定ツール!$F$12,B49)</f>
        <v>470000</v>
      </c>
      <c r="E49" s="202">
        <f t="shared" si="9"/>
        <v>25145</v>
      </c>
      <c r="F49" s="64">
        <f t="shared" si="38"/>
        <v>17813</v>
      </c>
      <c r="G49" s="64">
        <f t="shared" si="39"/>
        <v>611</v>
      </c>
      <c r="H49" s="64">
        <f t="shared" si="40"/>
        <v>43569</v>
      </c>
      <c r="I49" s="38">
        <f t="shared" si="41"/>
        <v>7238</v>
      </c>
      <c r="J49" s="109">
        <f t="shared" si="42"/>
        <v>1081</v>
      </c>
      <c r="K49" s="203">
        <f t="shared" si="10"/>
        <v>51888</v>
      </c>
      <c r="M49" s="216">
        <v>25145</v>
      </c>
      <c r="N49" s="216">
        <v>17813</v>
      </c>
      <c r="O49" s="216">
        <v>611</v>
      </c>
      <c r="P49" s="216">
        <v>43569</v>
      </c>
      <c r="Q49" s="216">
        <v>7238</v>
      </c>
      <c r="R49" s="216">
        <v>1081</v>
      </c>
      <c r="S49" s="216">
        <v>51888</v>
      </c>
      <c r="T49" s="215"/>
      <c r="U49" s="216">
        <f t="shared" si="11"/>
        <v>0</v>
      </c>
      <c r="V49" s="216">
        <f t="shared" si="12"/>
        <v>0</v>
      </c>
      <c r="W49" s="216">
        <f t="shared" si="13"/>
        <v>0</v>
      </c>
      <c r="X49" s="216">
        <f t="shared" si="14"/>
        <v>0</v>
      </c>
      <c r="Y49" s="216">
        <f t="shared" si="15"/>
        <v>0</v>
      </c>
      <c r="Z49" s="216">
        <f t="shared" si="16"/>
        <v>0</v>
      </c>
      <c r="AA49" s="216">
        <f t="shared" si="17"/>
        <v>0</v>
      </c>
    </row>
    <row r="50" spans="1:27">
      <c r="A50" s="54">
        <v>980</v>
      </c>
      <c r="B50" s="55">
        <v>980000</v>
      </c>
      <c r="C50" s="56">
        <f>IF(B50&gt;=算定ツール!$F$12,算定ツール!$F$12,B50)</f>
        <v>470000</v>
      </c>
      <c r="E50" s="202">
        <f t="shared" si="9"/>
        <v>25145</v>
      </c>
      <c r="F50" s="64">
        <f t="shared" si="38"/>
        <v>17813</v>
      </c>
      <c r="G50" s="64">
        <f t="shared" si="39"/>
        <v>611</v>
      </c>
      <c r="H50" s="64">
        <f t="shared" si="40"/>
        <v>43569</v>
      </c>
      <c r="I50" s="38">
        <f t="shared" si="41"/>
        <v>7238</v>
      </c>
      <c r="J50" s="109">
        <f t="shared" si="42"/>
        <v>1081</v>
      </c>
      <c r="K50" s="203">
        <f t="shared" si="10"/>
        <v>51888</v>
      </c>
      <c r="M50" s="216">
        <v>25145</v>
      </c>
      <c r="N50" s="216">
        <v>17813</v>
      </c>
      <c r="O50" s="216">
        <v>611</v>
      </c>
      <c r="P50" s="216">
        <v>43569</v>
      </c>
      <c r="Q50" s="216">
        <v>7238</v>
      </c>
      <c r="R50" s="216">
        <v>1081</v>
      </c>
      <c r="S50" s="216">
        <v>51888</v>
      </c>
      <c r="T50" s="215"/>
      <c r="U50" s="216">
        <f t="shared" si="11"/>
        <v>0</v>
      </c>
      <c r="V50" s="216">
        <f t="shared" si="12"/>
        <v>0</v>
      </c>
      <c r="W50" s="216">
        <f t="shared" si="13"/>
        <v>0</v>
      </c>
      <c r="X50" s="216">
        <f t="shared" si="14"/>
        <v>0</v>
      </c>
      <c r="Y50" s="216">
        <f t="shared" si="15"/>
        <v>0</v>
      </c>
      <c r="Z50" s="216">
        <f t="shared" si="16"/>
        <v>0</v>
      </c>
      <c r="AA50" s="216">
        <f t="shared" si="17"/>
        <v>0</v>
      </c>
    </row>
    <row r="51" spans="1:27">
      <c r="A51" s="54">
        <v>1030</v>
      </c>
      <c r="B51" s="55">
        <v>1030000</v>
      </c>
      <c r="C51" s="56">
        <f>IF(B51&gt;=算定ツール!$F$12,算定ツール!$F$12,B51)</f>
        <v>470000</v>
      </c>
      <c r="E51" s="202">
        <f t="shared" si="9"/>
        <v>25145</v>
      </c>
      <c r="F51" s="64">
        <f t="shared" si="38"/>
        <v>17813</v>
      </c>
      <c r="G51" s="64">
        <f t="shared" si="39"/>
        <v>611</v>
      </c>
      <c r="H51" s="64">
        <f t="shared" si="40"/>
        <v>43569</v>
      </c>
      <c r="I51" s="38">
        <f t="shared" si="41"/>
        <v>7238</v>
      </c>
      <c r="J51" s="109">
        <f t="shared" si="42"/>
        <v>1081</v>
      </c>
      <c r="K51" s="203">
        <f t="shared" si="10"/>
        <v>51888</v>
      </c>
      <c r="M51" s="216">
        <v>25145</v>
      </c>
      <c r="N51" s="216">
        <v>17813</v>
      </c>
      <c r="O51" s="216">
        <v>611</v>
      </c>
      <c r="P51" s="216">
        <v>43569</v>
      </c>
      <c r="Q51" s="216">
        <v>7238</v>
      </c>
      <c r="R51" s="216">
        <v>1081</v>
      </c>
      <c r="S51" s="216">
        <v>51888</v>
      </c>
      <c r="T51" s="215"/>
      <c r="U51" s="216">
        <f t="shared" si="11"/>
        <v>0</v>
      </c>
      <c r="V51" s="216">
        <f t="shared" si="12"/>
        <v>0</v>
      </c>
      <c r="W51" s="216">
        <f t="shared" si="13"/>
        <v>0</v>
      </c>
      <c r="X51" s="216">
        <f t="shared" si="14"/>
        <v>0</v>
      </c>
      <c r="Y51" s="216">
        <f t="shared" si="15"/>
        <v>0</v>
      </c>
      <c r="Z51" s="216">
        <f t="shared" si="16"/>
        <v>0</v>
      </c>
      <c r="AA51" s="216">
        <f t="shared" si="17"/>
        <v>0</v>
      </c>
    </row>
    <row r="52" spans="1:27">
      <c r="A52" s="54">
        <v>1090</v>
      </c>
      <c r="B52" s="55">
        <v>1090000</v>
      </c>
      <c r="C52" s="56">
        <f>IF(B52&gt;=算定ツール!$F$12,算定ツール!$F$12,B52)</f>
        <v>470000</v>
      </c>
      <c r="E52" s="202">
        <f t="shared" si="9"/>
        <v>25145</v>
      </c>
      <c r="F52" s="64">
        <f t="shared" si="38"/>
        <v>17813</v>
      </c>
      <c r="G52" s="64">
        <f t="shared" si="39"/>
        <v>611</v>
      </c>
      <c r="H52" s="64">
        <f t="shared" si="40"/>
        <v>43569</v>
      </c>
      <c r="I52" s="38">
        <f t="shared" si="41"/>
        <v>7238</v>
      </c>
      <c r="J52" s="109">
        <f t="shared" si="42"/>
        <v>1081</v>
      </c>
      <c r="K52" s="203">
        <f t="shared" si="10"/>
        <v>51888</v>
      </c>
      <c r="M52" s="216">
        <v>25145</v>
      </c>
      <c r="N52" s="216">
        <v>17813</v>
      </c>
      <c r="O52" s="216">
        <v>611</v>
      </c>
      <c r="P52" s="216">
        <v>43569</v>
      </c>
      <c r="Q52" s="216">
        <v>7238</v>
      </c>
      <c r="R52" s="216">
        <v>1081</v>
      </c>
      <c r="S52" s="216">
        <v>51888</v>
      </c>
      <c r="T52" s="215"/>
      <c r="U52" s="216">
        <f t="shared" si="11"/>
        <v>0</v>
      </c>
      <c r="V52" s="216">
        <f t="shared" si="12"/>
        <v>0</v>
      </c>
      <c r="W52" s="216">
        <f t="shared" si="13"/>
        <v>0</v>
      </c>
      <c r="X52" s="216">
        <f t="shared" si="14"/>
        <v>0</v>
      </c>
      <c r="Y52" s="216">
        <f t="shared" si="15"/>
        <v>0</v>
      </c>
      <c r="Z52" s="216">
        <f t="shared" si="16"/>
        <v>0</v>
      </c>
      <c r="AA52" s="216">
        <f t="shared" si="17"/>
        <v>0</v>
      </c>
    </row>
    <row r="53" spans="1:27">
      <c r="A53" s="54">
        <v>1150</v>
      </c>
      <c r="B53" s="55">
        <v>1150000</v>
      </c>
      <c r="C53" s="56">
        <f>IF(B53&gt;=算定ツール!$F$12,算定ツール!$F$12,B53)</f>
        <v>470000</v>
      </c>
      <c r="E53" s="202">
        <f t="shared" si="9"/>
        <v>25145</v>
      </c>
      <c r="F53" s="64">
        <f t="shared" si="38"/>
        <v>17813</v>
      </c>
      <c r="G53" s="64">
        <f t="shared" si="39"/>
        <v>611</v>
      </c>
      <c r="H53" s="64">
        <f t="shared" si="40"/>
        <v>43569</v>
      </c>
      <c r="I53" s="38">
        <f t="shared" si="41"/>
        <v>7238</v>
      </c>
      <c r="J53" s="109">
        <f t="shared" si="42"/>
        <v>1081</v>
      </c>
      <c r="K53" s="203">
        <f t="shared" si="10"/>
        <v>51888</v>
      </c>
      <c r="M53" s="216">
        <v>25145</v>
      </c>
      <c r="N53" s="216">
        <v>17813</v>
      </c>
      <c r="O53" s="216">
        <v>611</v>
      </c>
      <c r="P53" s="216">
        <v>43569</v>
      </c>
      <c r="Q53" s="216">
        <v>7238</v>
      </c>
      <c r="R53" s="216">
        <v>1081</v>
      </c>
      <c r="S53" s="216">
        <v>51888</v>
      </c>
      <c r="T53" s="215"/>
      <c r="U53" s="216">
        <f t="shared" si="11"/>
        <v>0</v>
      </c>
      <c r="V53" s="216">
        <f t="shared" si="12"/>
        <v>0</v>
      </c>
      <c r="W53" s="216">
        <f t="shared" si="13"/>
        <v>0</v>
      </c>
      <c r="X53" s="216">
        <f t="shared" si="14"/>
        <v>0</v>
      </c>
      <c r="Y53" s="216">
        <f t="shared" si="15"/>
        <v>0</v>
      </c>
      <c r="Z53" s="216">
        <f t="shared" si="16"/>
        <v>0</v>
      </c>
      <c r="AA53" s="216">
        <f t="shared" si="17"/>
        <v>0</v>
      </c>
    </row>
    <row r="54" spans="1:27">
      <c r="A54" s="54">
        <v>1210</v>
      </c>
      <c r="B54" s="55">
        <v>1210000</v>
      </c>
      <c r="C54" s="56">
        <f>IF(B54&gt;=算定ツール!$F$12,算定ツール!$F$12,B54)</f>
        <v>470000</v>
      </c>
      <c r="E54" s="202">
        <f t="shared" si="9"/>
        <v>25145</v>
      </c>
      <c r="F54" s="64">
        <f t="shared" si="38"/>
        <v>17813</v>
      </c>
      <c r="G54" s="64">
        <f t="shared" si="39"/>
        <v>611</v>
      </c>
      <c r="H54" s="64">
        <f t="shared" si="40"/>
        <v>43569</v>
      </c>
      <c r="I54" s="38">
        <f t="shared" si="41"/>
        <v>7238</v>
      </c>
      <c r="J54" s="109">
        <f t="shared" si="42"/>
        <v>1081</v>
      </c>
      <c r="K54" s="203">
        <f t="shared" si="10"/>
        <v>51888</v>
      </c>
      <c r="M54" s="216">
        <v>25145</v>
      </c>
      <c r="N54" s="216">
        <v>17813</v>
      </c>
      <c r="O54" s="216">
        <v>611</v>
      </c>
      <c r="P54" s="216">
        <v>43569</v>
      </c>
      <c r="Q54" s="216">
        <v>7238</v>
      </c>
      <c r="R54" s="216">
        <v>1081</v>
      </c>
      <c r="S54" s="216">
        <v>51888</v>
      </c>
      <c r="T54" s="215"/>
      <c r="U54" s="216">
        <f t="shared" si="11"/>
        <v>0</v>
      </c>
      <c r="V54" s="216">
        <f t="shared" si="12"/>
        <v>0</v>
      </c>
      <c r="W54" s="216">
        <f t="shared" si="13"/>
        <v>0</v>
      </c>
      <c r="X54" s="216">
        <f t="shared" si="14"/>
        <v>0</v>
      </c>
      <c r="Y54" s="216">
        <f t="shared" si="15"/>
        <v>0</v>
      </c>
      <c r="Z54" s="216">
        <f t="shared" si="16"/>
        <v>0</v>
      </c>
      <c r="AA54" s="216">
        <f t="shared" si="17"/>
        <v>0</v>
      </c>
    </row>
    <row r="55" spans="1:27">
      <c r="A55" s="54">
        <v>1270</v>
      </c>
      <c r="B55" s="55">
        <v>1270000</v>
      </c>
      <c r="C55" s="56">
        <f>IF(B55&gt;=算定ツール!$F$12,算定ツール!$F$12,B55)</f>
        <v>470000</v>
      </c>
      <c r="E55" s="202">
        <f t="shared" si="9"/>
        <v>25145</v>
      </c>
      <c r="F55" s="64">
        <f t="shared" si="38"/>
        <v>17813</v>
      </c>
      <c r="G55" s="64">
        <f t="shared" si="39"/>
        <v>611</v>
      </c>
      <c r="H55" s="64">
        <f t="shared" si="40"/>
        <v>43569</v>
      </c>
      <c r="I55" s="38">
        <f t="shared" si="41"/>
        <v>7238</v>
      </c>
      <c r="J55" s="109">
        <f t="shared" si="42"/>
        <v>1081</v>
      </c>
      <c r="K55" s="203">
        <f t="shared" si="10"/>
        <v>51888</v>
      </c>
      <c r="M55" s="216">
        <v>25145</v>
      </c>
      <c r="N55" s="216">
        <v>17813</v>
      </c>
      <c r="O55" s="216">
        <v>611</v>
      </c>
      <c r="P55" s="216">
        <v>43569</v>
      </c>
      <c r="Q55" s="216">
        <v>7238</v>
      </c>
      <c r="R55" s="216">
        <v>1081</v>
      </c>
      <c r="S55" s="216">
        <v>51888</v>
      </c>
      <c r="T55" s="215"/>
      <c r="U55" s="216">
        <f t="shared" si="11"/>
        <v>0</v>
      </c>
      <c r="V55" s="216">
        <f t="shared" si="12"/>
        <v>0</v>
      </c>
      <c r="W55" s="216">
        <f t="shared" si="13"/>
        <v>0</v>
      </c>
      <c r="X55" s="216">
        <f t="shared" si="14"/>
        <v>0</v>
      </c>
      <c r="Y55" s="216">
        <f t="shared" si="15"/>
        <v>0</v>
      </c>
      <c r="Z55" s="216">
        <f t="shared" si="16"/>
        <v>0</v>
      </c>
      <c r="AA55" s="216">
        <f t="shared" si="17"/>
        <v>0</v>
      </c>
    </row>
    <row r="56" spans="1:27">
      <c r="A56" s="54">
        <v>1330</v>
      </c>
      <c r="B56" s="55">
        <v>1330000</v>
      </c>
      <c r="C56" s="56">
        <f>IF(B56&gt;=算定ツール!$F$12,算定ツール!$F$12,B56)</f>
        <v>470000</v>
      </c>
      <c r="E56" s="202">
        <f t="shared" si="9"/>
        <v>25145</v>
      </c>
      <c r="F56" s="64">
        <f t="shared" si="38"/>
        <v>17813</v>
      </c>
      <c r="G56" s="64">
        <f t="shared" si="39"/>
        <v>611</v>
      </c>
      <c r="H56" s="64">
        <f t="shared" si="40"/>
        <v>43569</v>
      </c>
      <c r="I56" s="38">
        <f t="shared" si="41"/>
        <v>7238</v>
      </c>
      <c r="J56" s="109">
        <f t="shared" si="42"/>
        <v>1081</v>
      </c>
      <c r="K56" s="203">
        <f t="shared" si="10"/>
        <v>51888</v>
      </c>
      <c r="M56" s="216">
        <v>25145</v>
      </c>
      <c r="N56" s="216">
        <v>17813</v>
      </c>
      <c r="O56" s="216">
        <v>611</v>
      </c>
      <c r="P56" s="216">
        <v>43569</v>
      </c>
      <c r="Q56" s="216">
        <v>7238</v>
      </c>
      <c r="R56" s="216">
        <v>1081</v>
      </c>
      <c r="S56" s="216">
        <v>51888</v>
      </c>
      <c r="T56" s="215"/>
      <c r="U56" s="216">
        <f t="shared" si="11"/>
        <v>0</v>
      </c>
      <c r="V56" s="216">
        <f t="shared" si="12"/>
        <v>0</v>
      </c>
      <c r="W56" s="216">
        <f t="shared" si="13"/>
        <v>0</v>
      </c>
      <c r="X56" s="216">
        <f t="shared" si="14"/>
        <v>0</v>
      </c>
      <c r="Y56" s="216">
        <f t="shared" si="15"/>
        <v>0</v>
      </c>
      <c r="Z56" s="216">
        <f t="shared" si="16"/>
        <v>0</v>
      </c>
      <c r="AA56" s="216">
        <f t="shared" si="17"/>
        <v>0</v>
      </c>
    </row>
    <row r="57" spans="1:27" ht="19.5" thickBot="1">
      <c r="A57" s="58">
        <v>1390</v>
      </c>
      <c r="B57" s="59">
        <v>1390000</v>
      </c>
      <c r="C57" s="118">
        <f>IF(B57&gt;=算定ツール!$F$12,算定ツール!$F$12,B57)</f>
        <v>470000</v>
      </c>
      <c r="E57" s="206">
        <f t="shared" si="9"/>
        <v>25145</v>
      </c>
      <c r="F57" s="207">
        <f t="shared" si="38"/>
        <v>17813</v>
      </c>
      <c r="G57" s="207">
        <f t="shared" si="39"/>
        <v>611</v>
      </c>
      <c r="H57" s="207">
        <f t="shared" si="40"/>
        <v>43569</v>
      </c>
      <c r="I57" s="208">
        <f t="shared" si="41"/>
        <v>7238</v>
      </c>
      <c r="J57" s="209">
        <f t="shared" si="42"/>
        <v>1081</v>
      </c>
      <c r="K57" s="210">
        <f t="shared" si="10"/>
        <v>51888</v>
      </c>
      <c r="M57" s="216">
        <v>25145</v>
      </c>
      <c r="N57" s="216">
        <v>17813</v>
      </c>
      <c r="O57" s="216">
        <v>611</v>
      </c>
      <c r="P57" s="216">
        <v>43569</v>
      </c>
      <c r="Q57" s="216">
        <v>7238</v>
      </c>
      <c r="R57" s="216">
        <v>1081</v>
      </c>
      <c r="S57" s="216">
        <v>51888</v>
      </c>
      <c r="T57" s="215"/>
      <c r="U57" s="216">
        <f t="shared" si="11"/>
        <v>0</v>
      </c>
      <c r="V57" s="216">
        <f t="shared" si="12"/>
        <v>0</v>
      </c>
      <c r="W57" s="216">
        <f t="shared" si="13"/>
        <v>0</v>
      </c>
      <c r="X57" s="216">
        <f t="shared" si="14"/>
        <v>0</v>
      </c>
      <c r="Y57" s="216">
        <f t="shared" si="15"/>
        <v>0</v>
      </c>
      <c r="Z57" s="216">
        <f t="shared" si="16"/>
        <v>0</v>
      </c>
      <c r="AA57" s="216">
        <f t="shared" si="17"/>
        <v>0</v>
      </c>
    </row>
  </sheetData>
  <mergeCells count="2">
    <mergeCell ref="BA11:BB11"/>
    <mergeCell ref="BA17:BB17"/>
  </mergeCells>
  <phoneticPr fontId="3"/>
  <pageMargins left="0.27" right="0.2"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Company>HP Inc.</Company>
  <LinksUpToDate>false</LinksUpToDate>
  <ScaleCrop>false</ScaleCrop>
  <SharedDoc>false</SharedDoc>
  <HyperlinksChanged>false</HyperlinksChanged>
  <AppVersion>16.0000</AppVersion>
  <DocSecurity>0</DocSecurity>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竹前　和洋</dc:creator>
  <dcterms:modified xsi:type="dcterms:W3CDTF">2026-05-22T06:57:46Z</dcterms:modified>
  <cp:lastPrinted>2026-01-28T05:02:50Z</cp:lastPrinted>
  <cp:lastModifiedBy>露木 賢</cp:lastModifiedBy>
  <dcterms:created xsi:type="dcterms:W3CDTF">2022-11-21T02:07:40Z</dcterms:created>
</cp:coreProperties>
</file>

<file path=docProps/custom.xml><?xml version="1.0" encoding="utf-8"?>
<Properties xmlns="http://schemas.openxmlformats.org/officeDocument/2006/custom-properties" xmlns:vt="http://schemas.openxmlformats.org/officeDocument/2006/docPropsVTypes"/>
</file>